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<sst xmlns="http://schemas.openxmlformats.org/spreadsheetml/2006/main" count="242" uniqueCount="172">
  <si>
    <t>Ширина,м</t>
  </si>
  <si>
    <t>Параметры плитки</t>
  </si>
  <si>
    <t>Длина плитки,мм</t>
  </si>
  <si>
    <t>Ширина плитки,мм</t>
  </si>
  <si>
    <t>Толщина плитки,мм</t>
  </si>
  <si>
    <t>Ширина шва,мм</t>
  </si>
  <si>
    <t>Общая площадь,м2</t>
  </si>
  <si>
    <t>Наименование материала</t>
  </si>
  <si>
    <t>Упаковка</t>
  </si>
  <si>
    <t>Кол-во, кг/шт/м</t>
  </si>
  <si>
    <t>Площадь стен, м2</t>
  </si>
  <si>
    <t>Размер скидки, %</t>
  </si>
  <si>
    <t>Итого со скидкой, руб</t>
  </si>
  <si>
    <t>Площадь дна, м2</t>
  </si>
  <si>
    <t>Глубина (H1),м</t>
  </si>
  <si>
    <t>Глубина (H2),м</t>
  </si>
  <si>
    <t>Длина (L2),м</t>
  </si>
  <si>
    <t>Длина (L3),м</t>
  </si>
  <si>
    <t>Длина (L4),м</t>
  </si>
  <si>
    <t>Количество закладных деталей (сливы, форсунки), шт</t>
  </si>
  <si>
    <t>Толщина клеевого слоя (см. таблицу по клею), мм</t>
  </si>
  <si>
    <t>Толщина,</t>
  </si>
  <si>
    <t>мм</t>
  </si>
  <si>
    <t>Ecoprim Grip</t>
  </si>
  <si>
    <t>Planicrete (Адгезионный слой)</t>
  </si>
  <si>
    <t>Planicrete (Адгезионный раствор)</t>
  </si>
  <si>
    <t>Ecoprim Grip (при выравнии Nivoplan Plus)</t>
  </si>
  <si>
    <t>Выравнивание стен</t>
  </si>
  <si>
    <t>Nivoplan Plus</t>
  </si>
  <si>
    <t>Planicrete (при необходимости)</t>
  </si>
  <si>
    <t>Средняя толщина выравнивания пола прилегающей зоны,мм</t>
  </si>
  <si>
    <t>Средняя толщина выравнивания стен чаши, мм</t>
  </si>
  <si>
    <t>Средняя толщина выравнивания дна чаши, мм</t>
  </si>
  <si>
    <t>Topcem Pronto</t>
  </si>
  <si>
    <t>Подготовка дна к выравниванию (выберите один из выделенных  вариантов)</t>
  </si>
  <si>
    <t>Topcem</t>
  </si>
  <si>
    <t>Mapecem</t>
  </si>
  <si>
    <t>Mapecem Pronto</t>
  </si>
  <si>
    <t>Выравнивание дна чаши (выберите один из вариантов)</t>
  </si>
  <si>
    <t>Гидроизоляция (выберите один из вариантов)</t>
  </si>
  <si>
    <t>Mapelastic</t>
  </si>
  <si>
    <t>Mapelastic Smart</t>
  </si>
  <si>
    <t>Гидроизоляция. Сопутствующие материалы.</t>
  </si>
  <si>
    <t>Mapeband (лента)</t>
  </si>
  <si>
    <t>Mapeband (манжет)</t>
  </si>
  <si>
    <t>Mapenet 150</t>
  </si>
  <si>
    <t>Mapetex Sel</t>
  </si>
  <si>
    <t>Idrostop</t>
  </si>
  <si>
    <t>Mapeproof Swell</t>
  </si>
  <si>
    <t>Анкеровка закладных деталей</t>
  </si>
  <si>
    <t>Mapefill</t>
  </si>
  <si>
    <t>Mapefill 10</t>
  </si>
  <si>
    <t>Клей для плитки (выберите один из выделенных вариантов)</t>
  </si>
  <si>
    <t>Keracrete (Powder)</t>
  </si>
  <si>
    <t>Keracrete (Latex)</t>
  </si>
  <si>
    <t>Adesilex P10</t>
  </si>
  <si>
    <t>Isolastic</t>
  </si>
  <si>
    <t>Granirapid White (Комп. А)</t>
  </si>
  <si>
    <t>Granirapid White (Комп. B)</t>
  </si>
  <si>
    <t>Granirapid Grey (Комп. А)</t>
  </si>
  <si>
    <t>Granirapid Grey (Комп. B)</t>
  </si>
  <si>
    <t>Шовные заполнители (выберите один из выделенных вариантов)</t>
  </si>
  <si>
    <t>Ultracolor Plus</t>
  </si>
  <si>
    <t>Keracolor FF</t>
  </si>
  <si>
    <t>Fugolasic</t>
  </si>
  <si>
    <t>Kerapoxy</t>
  </si>
  <si>
    <t>Kerapoxy Designe</t>
  </si>
  <si>
    <t>Mapeglitter</t>
  </si>
  <si>
    <t>Герметик</t>
  </si>
  <si>
    <t>Mapesil AC</t>
  </si>
  <si>
    <t>Размеры чаши бассейна</t>
  </si>
  <si>
    <t>Длина углов, мп</t>
  </si>
  <si>
    <t>Дополнительные размеры</t>
  </si>
  <si>
    <t>Объем чаши, м3</t>
  </si>
  <si>
    <t>Исходные данные для расчета</t>
  </si>
  <si>
    <t>Kerapoxy Design</t>
  </si>
  <si>
    <t>Выберите используемые материалы ( "1" - да, "0" - нет)</t>
  </si>
  <si>
    <t>Подготовка пола прилегаюшей зоны к выравниванию (выберите один из выделенных  вариантов)</t>
  </si>
  <si>
    <t>Keracrete</t>
  </si>
  <si>
    <t>Adesilex P10 + Isolastic</t>
  </si>
  <si>
    <t>Granirapid White</t>
  </si>
  <si>
    <t>Granirapid Grey</t>
  </si>
  <si>
    <t>Keracolor FF + Fugolastic</t>
  </si>
  <si>
    <t xml:space="preserve">Подготовка стен к выравниванию </t>
  </si>
  <si>
    <t>(выберите один из представленных вариантов)</t>
  </si>
  <si>
    <t xml:space="preserve">Подготовка дна к выравниванию </t>
  </si>
  <si>
    <t>(выберите один из выделенных  вариантов)</t>
  </si>
  <si>
    <t xml:space="preserve">Подготовка прилегающей зоны к выравниванию </t>
  </si>
  <si>
    <t xml:space="preserve">Клей для плитки (выберите один </t>
  </si>
  <si>
    <t>из выделенных вариантов)</t>
  </si>
  <si>
    <t xml:space="preserve">Шовные заполнители (выберите один </t>
  </si>
  <si>
    <t>Planicrete + Topcem (Адгезионный раствор)</t>
  </si>
  <si>
    <t>(выберите один из  вариантов)</t>
  </si>
  <si>
    <t>Planicrete + Mapecem (Адгезионный раствор)</t>
  </si>
  <si>
    <t>Мозаика и мелкий формат (шпатель №4)</t>
  </si>
  <si>
    <t>Средний формат (Шпатель №6)</t>
  </si>
  <si>
    <t>300х300 мм (Шпатель №6)</t>
  </si>
  <si>
    <t xml:space="preserve">Приблизительная рекомендуемая толщина  </t>
  </si>
  <si>
    <t>клея, в зависимости от  размера плитки.*</t>
  </si>
  <si>
    <t>* В таблице приведена толщина сплошного слоя клея. Истинная толщина</t>
  </si>
  <si>
    <t xml:space="preserve"> исходных данных можно использовать не целые числа, например 2,4; 3,5  и т.д.</t>
  </si>
  <si>
    <t xml:space="preserve"> нанесенного клея отличается. При постановки данного  значения в таблицу</t>
  </si>
  <si>
    <t>от 1,75 до 2</t>
  </si>
  <si>
    <t>от 2 до 3</t>
  </si>
  <si>
    <t>от 3 до 4</t>
  </si>
  <si>
    <t>Дополнительная горизонтальная площадь</t>
  </si>
  <si>
    <t>(прилегающая зона и т.п.), м2</t>
  </si>
  <si>
    <t xml:space="preserve">Ведро 5 или10 кг </t>
  </si>
  <si>
    <t>Канистра 5,10,25 кг</t>
  </si>
  <si>
    <t>Мешок 20 кг</t>
  </si>
  <si>
    <t>Мешок 25 кг</t>
  </si>
  <si>
    <t>Расход, кг,л,/м2, м/м.п. и т.д.</t>
  </si>
  <si>
    <t>Planicrete</t>
  </si>
  <si>
    <t>Выравнивание прилегающей зоны (выберите один из вариантов)</t>
  </si>
  <si>
    <t>Выравн-е прилегающей зоны (выберите один из вариантов)</t>
  </si>
  <si>
    <t>Planicrete (при необходимости)*</t>
  </si>
  <si>
    <t>Mapelastic (комп. В)</t>
  </si>
  <si>
    <t>Mapelastic (комп. А.)</t>
  </si>
  <si>
    <t>Mapelastic Smart (комп. А.)</t>
  </si>
  <si>
    <t>Mapelastic Smart (комп. В.)</t>
  </si>
  <si>
    <t>Мешок 24 кг</t>
  </si>
  <si>
    <t>Канистра 8 кг</t>
  </si>
  <si>
    <t>Канистра 10 кг</t>
  </si>
  <si>
    <t>Рулон 50 м</t>
  </si>
  <si>
    <t>Mapeband (манжет 300х300 мм)</t>
  </si>
  <si>
    <t>По штучно</t>
  </si>
  <si>
    <t>Рулон 50 х 1 м</t>
  </si>
  <si>
    <t>Рулон 25 х 1 м</t>
  </si>
  <si>
    <t>Mapeproof Swell**</t>
  </si>
  <si>
    <t>Idrostop 10 **</t>
  </si>
  <si>
    <t>Рулон 10 м</t>
  </si>
  <si>
    <t>Туба 320 мл</t>
  </si>
  <si>
    <t>Канистры 25,10,5 кг</t>
  </si>
  <si>
    <t>Мешок 22,5 кг</t>
  </si>
  <si>
    <t>Канистра 5,5 кг</t>
  </si>
  <si>
    <t>Мешки 5, 2 кг</t>
  </si>
  <si>
    <t>Keracolor FF/SF</t>
  </si>
  <si>
    <t>Мешки  5 кг / 22 кг</t>
  </si>
  <si>
    <t>Кан-ры 25,10,5,1 кг</t>
  </si>
  <si>
    <t>Комплекты 10,5,2 кг</t>
  </si>
  <si>
    <t>Комплект 3 кг</t>
  </si>
  <si>
    <t>Пакеты 0,1 кг</t>
  </si>
  <si>
    <t>***</t>
  </si>
  <si>
    <t>****</t>
  </si>
  <si>
    <t>Длина (L1),м (сумма L2+L3+L4)*</t>
  </si>
  <si>
    <t xml:space="preserve">* Если в бассейне нет препада всысот можно ввести </t>
  </si>
  <si>
    <t>следующие значения длинн L2 = L1, L3 =0; L4 =0</t>
  </si>
  <si>
    <t>Если перепад на всем протяжении, то L2=0, L4=0, а L1=L3</t>
  </si>
  <si>
    <t>Длина деформ-ных швов + доп. углы, м.п.**</t>
  </si>
  <si>
    <t xml:space="preserve">** Количество погонных метров швов для заполнения герметиком </t>
  </si>
  <si>
    <t>Расход шовного заполнителя, кг/м2</t>
  </si>
  <si>
    <t>Mapeglitter*****</t>
  </si>
  <si>
    <t>Тубы 310 мл.</t>
  </si>
  <si>
    <t xml:space="preserve">Сумма, руб. </t>
  </si>
  <si>
    <t>Итого:******</t>
  </si>
  <si>
    <t>* Planicrete нужно выбирать только если выравнивание будет производиться с помощью Nivoplan Plus. В Topcem Pronto или Mapecem Pronto Planicrete добавлять не нужно.</t>
  </si>
  <si>
    <t>*** Расход шовного заполнителя считается автоматически в соответствии с указанными размерами плитки.</t>
  </si>
  <si>
    <t>****  Расход герметика Mapesil AC указан на шов размером 5х5 мм в сечении, в мл на м.п. шва.</t>
  </si>
  <si>
    <t>***** Расход Mapeglitter посчитан из расчета добавления 6 % от веса Kerapoxy Design (2 пакета 0,1 кг на комплект 3 кг шовного заполнителя).</t>
  </si>
  <si>
    <t xml:space="preserve">****** ВНИМАНИЕ. Стоимость примерная. Т.к в расчете необходиомого кол-ва материалов применяется округление в большую сторону на минимально возможную упаковку. </t>
  </si>
  <si>
    <t>В данную таблицу расчета включены не все возможные/необходимые материалы.</t>
  </si>
  <si>
    <t>Отсутствует расчет для:</t>
  </si>
  <si>
    <t>Таблица-программа для примерного расчета необходимого количества материалов и их стоимости для типового плавательного бассейна.Версия 1.0.</t>
  </si>
  <si>
    <t>Инструкция по пользованию таблицей: Заполните  ячейки выделенные желтым цветом, все остальное считается автоматически.</t>
  </si>
  <si>
    <r>
      <t xml:space="preserve">Подготовка стен к выравниванию (выберите один из представленных вариантов, </t>
    </r>
    <r>
      <rPr>
        <b/>
        <sz val="10"/>
        <color indexed="10"/>
        <rFont val="Arial Cyr"/>
        <family val="0"/>
      </rPr>
      <t>см. Таблицу справа</t>
    </r>
    <r>
      <rPr>
        <b/>
        <sz val="10"/>
        <rFont val="Arial Cyr"/>
        <family val="0"/>
      </rPr>
      <t>)</t>
    </r>
  </si>
  <si>
    <t>Цена, руб/ЕИ (кг, л, мл,шт)</t>
  </si>
  <si>
    <t>Adesilex T Super, Idrostop Mastic, Eporip.</t>
  </si>
  <si>
    <t>** Расходы Idrostop 10 и Mapeproof Swell посчитаны на окружность закладной детали в 20 см. Расход для Mapeproof Swell указан в мл, для Idrostop 10 в м.</t>
  </si>
  <si>
    <t xml:space="preserve">Например стоимость за кг может стоять для упаковки 10 кг, а в ячейке с количеством материала округление до 5 кг. </t>
  </si>
  <si>
    <t>Объем всех полостей для заливки закладныйх деталей, дм3</t>
  </si>
  <si>
    <t xml:space="preserve">                Плотность шовного заполнителя (P), кг/дм3</t>
  </si>
  <si>
    <r>
      <t xml:space="preserve">Плотность шовного заполнителя (P) </t>
    </r>
    <r>
      <rPr>
        <sz val="10"/>
        <color indexed="10"/>
        <rFont val="Arial Cyr"/>
        <family val="0"/>
      </rPr>
      <t>(см табл.)</t>
    </r>
    <r>
      <rPr>
        <sz val="10"/>
        <rFont val="Arial Cyr"/>
        <family val="0"/>
      </rPr>
      <t>, кг/дм3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</si>
</sst>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20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4" borderId="1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0" fillId="0" borderId="0" xfId="0" applyFont="1" applyFill="1" applyBorder="1" applyAlignment="1">
      <alignment/>
    </xf>
    <xf numFmtId="0" fontId="0" fillId="0" borderId="23" xfId="0" applyBorder="1" applyAlignment="1">
      <alignment/>
    </xf>
    <xf numFmtId="0" fontId="0" fillId="25" borderId="24" xfId="0" applyFill="1" applyBorder="1" applyAlignment="1">
      <alignment/>
    </xf>
    <xf numFmtId="0" fontId="0" fillId="25" borderId="20" xfId="0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25" xfId="0" applyFill="1" applyBorder="1" applyAlignment="1">
      <alignment/>
    </xf>
    <xf numFmtId="0" fontId="0" fillId="25" borderId="26" xfId="0" applyFill="1" applyBorder="1" applyAlignment="1">
      <alignment horizontal="left"/>
    </xf>
    <xf numFmtId="0" fontId="0" fillId="25" borderId="27" xfId="0" applyFill="1" applyBorder="1" applyAlignment="1">
      <alignment horizontal="left"/>
    </xf>
    <xf numFmtId="0" fontId="0" fillId="25" borderId="10" xfId="0" applyFill="1" applyBorder="1" applyAlignment="1">
      <alignment/>
    </xf>
    <xf numFmtId="0" fontId="0" fillId="25" borderId="14" xfId="0" applyFill="1" applyBorder="1" applyAlignment="1">
      <alignment horizontal="left"/>
    </xf>
    <xf numFmtId="0" fontId="0" fillId="25" borderId="15" xfId="0" applyFill="1" applyBorder="1" applyAlignment="1">
      <alignment horizontal="left"/>
    </xf>
    <xf numFmtId="0" fontId="20" fillId="25" borderId="11" xfId="0" applyFont="1" applyFill="1" applyBorder="1" applyAlignment="1">
      <alignment/>
    </xf>
    <xf numFmtId="0" fontId="20" fillId="4" borderId="28" xfId="0" applyFont="1" applyFill="1" applyBorder="1" applyAlignment="1">
      <alignment horizontal="center"/>
    </xf>
    <xf numFmtId="0" fontId="0" fillId="4" borderId="24" xfId="0" applyFill="1" applyBorder="1" applyAlignment="1">
      <alignment/>
    </xf>
    <xf numFmtId="0" fontId="0" fillId="4" borderId="17" xfId="0" applyFill="1" applyBorder="1" applyAlignment="1">
      <alignment horizontal="center"/>
    </xf>
    <xf numFmtId="0" fontId="20" fillId="4" borderId="26" xfId="0" applyFont="1" applyFill="1" applyBorder="1" applyAlignment="1">
      <alignment horizontal="center"/>
    </xf>
    <xf numFmtId="0" fontId="20" fillId="4" borderId="18" xfId="0" applyFont="1" applyFill="1" applyBorder="1" applyAlignment="1">
      <alignment horizontal="center"/>
    </xf>
    <xf numFmtId="0" fontId="0" fillId="4" borderId="24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9" xfId="0" applyFill="1" applyBorder="1" applyAlignment="1">
      <alignment horizontal="center"/>
    </xf>
    <xf numFmtId="0" fontId="20" fillId="4" borderId="28" xfId="0" applyFont="1" applyFill="1" applyBorder="1" applyAlignment="1">
      <alignment/>
    </xf>
    <xf numFmtId="0" fontId="0" fillId="4" borderId="29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22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24" fillId="4" borderId="21" xfId="0" applyFont="1" applyFill="1" applyBorder="1" applyAlignment="1">
      <alignment/>
    </xf>
    <xf numFmtId="0" fontId="24" fillId="24" borderId="32" xfId="0" applyFont="1" applyFill="1" applyBorder="1" applyAlignment="1">
      <alignment horizontal="center" vertical="center"/>
    </xf>
    <xf numFmtId="0" fontId="24" fillId="24" borderId="33" xfId="0" applyFont="1" applyFill="1" applyBorder="1" applyAlignment="1">
      <alignment horizontal="center" vertical="center"/>
    </xf>
    <xf numFmtId="0" fontId="20" fillId="4" borderId="34" xfId="0" applyFont="1" applyFill="1" applyBorder="1" applyAlignment="1">
      <alignment/>
    </xf>
    <xf numFmtId="0" fontId="24" fillId="24" borderId="35" xfId="0" applyFont="1" applyFill="1" applyBorder="1" applyAlignment="1">
      <alignment horizontal="center" vertical="center"/>
    </xf>
    <xf numFmtId="0" fontId="24" fillId="24" borderId="30" xfId="0" applyFont="1" applyFill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20" fillId="4" borderId="22" xfId="0" applyFont="1" applyFill="1" applyBorder="1" applyAlignment="1">
      <alignment/>
    </xf>
    <xf numFmtId="0" fontId="24" fillId="4" borderId="16" xfId="0" applyFont="1" applyFill="1" applyBorder="1" applyAlignment="1">
      <alignment/>
    </xf>
    <xf numFmtId="0" fontId="24" fillId="4" borderId="21" xfId="0" applyFont="1" applyFill="1" applyBorder="1" applyAlignment="1">
      <alignment horizontal="center" vertical="center"/>
    </xf>
    <xf numFmtId="0" fontId="24" fillId="4" borderId="16" xfId="0" applyFont="1" applyFill="1" applyBorder="1" applyAlignment="1">
      <alignment horizontal="center" vertical="center"/>
    </xf>
    <xf numFmtId="0" fontId="24" fillId="4" borderId="37" xfId="0" applyFont="1" applyFill="1" applyBorder="1" applyAlignment="1">
      <alignment horizontal="center" vertical="center"/>
    </xf>
    <xf numFmtId="0" fontId="0" fillId="4" borderId="38" xfId="0" applyFill="1" applyBorder="1" applyAlignment="1">
      <alignment/>
    </xf>
    <xf numFmtId="0" fontId="24" fillId="24" borderId="39" xfId="0" applyFont="1" applyFill="1" applyBorder="1" applyAlignment="1">
      <alignment horizontal="center" vertical="center"/>
    </xf>
    <xf numFmtId="0" fontId="0" fillId="4" borderId="14" xfId="0" applyFill="1" applyBorder="1" applyAlignment="1">
      <alignment/>
    </xf>
    <xf numFmtId="0" fontId="20" fillId="4" borderId="40" xfId="0" applyFont="1" applyFill="1" applyBorder="1" applyAlignment="1">
      <alignment horizontal="center"/>
    </xf>
    <xf numFmtId="0" fontId="0" fillId="4" borderId="25" xfId="0" applyFill="1" applyBorder="1" applyAlignment="1">
      <alignment/>
    </xf>
    <xf numFmtId="0" fontId="20" fillId="4" borderId="22" xfId="0" applyFont="1" applyFill="1" applyBorder="1" applyAlignment="1">
      <alignment horizontal="center"/>
    </xf>
    <xf numFmtId="0" fontId="20" fillId="4" borderId="41" xfId="0" applyFont="1" applyFill="1" applyBorder="1" applyAlignment="1">
      <alignment horizontal="center"/>
    </xf>
    <xf numFmtId="0" fontId="0" fillId="4" borderId="42" xfId="0" applyNumberFormat="1" applyFill="1" applyBorder="1" applyAlignment="1">
      <alignment horizontal="center"/>
    </xf>
    <xf numFmtId="0" fontId="0" fillId="4" borderId="17" xfId="0" applyNumberFormat="1" applyFill="1" applyBorder="1" applyAlignment="1">
      <alignment horizontal="center"/>
    </xf>
    <xf numFmtId="0" fontId="0" fillId="4" borderId="19" xfId="0" applyNumberForma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24" borderId="46" xfId="0" applyFill="1" applyBorder="1" applyAlignment="1">
      <alignment/>
    </xf>
    <xf numFmtId="0" fontId="20" fillId="0" borderId="43" xfId="0" applyFont="1" applyBorder="1" applyAlignment="1">
      <alignment/>
    </xf>
    <xf numFmtId="0" fontId="20" fillId="0" borderId="44" xfId="0" applyFont="1" applyBorder="1" applyAlignment="1">
      <alignment/>
    </xf>
    <xf numFmtId="0" fontId="0" fillId="0" borderId="25" xfId="0" applyBorder="1" applyAlignment="1">
      <alignment/>
    </xf>
    <xf numFmtId="0" fontId="0" fillId="0" borderId="42" xfId="0" applyBorder="1" applyAlignment="1">
      <alignment/>
    </xf>
    <xf numFmtId="0" fontId="20" fillId="25" borderId="47" xfId="0" applyFont="1" applyFill="1" applyBorder="1" applyAlignment="1">
      <alignment/>
    </xf>
    <xf numFmtId="0" fontId="20" fillId="25" borderId="48" xfId="0" applyFont="1" applyFill="1" applyBorder="1" applyAlignment="1">
      <alignment/>
    </xf>
    <xf numFmtId="0" fontId="0" fillId="25" borderId="48" xfId="0" applyFill="1" applyBorder="1" applyAlignment="1">
      <alignment/>
    </xf>
    <xf numFmtId="0" fontId="0" fillId="25" borderId="49" xfId="0" applyFill="1" applyBorder="1" applyAlignment="1">
      <alignment/>
    </xf>
    <xf numFmtId="0" fontId="24" fillId="25" borderId="47" xfId="0" applyFont="1" applyFill="1" applyBorder="1" applyAlignment="1">
      <alignment/>
    </xf>
    <xf numFmtId="0" fontId="23" fillId="25" borderId="48" xfId="0" applyFont="1" applyFill="1" applyBorder="1" applyAlignment="1">
      <alignment/>
    </xf>
    <xf numFmtId="0" fontId="0" fillId="0" borderId="50" xfId="0" applyBorder="1" applyAlignment="1">
      <alignment/>
    </xf>
    <xf numFmtId="0" fontId="0" fillId="4" borderId="51" xfId="0" applyFill="1" applyBorder="1" applyAlignment="1">
      <alignment/>
    </xf>
    <xf numFmtId="0" fontId="0" fillId="0" borderId="52" xfId="0" applyBorder="1" applyAlignment="1">
      <alignment/>
    </xf>
    <xf numFmtId="0" fontId="0" fillId="4" borderId="46" xfId="0" applyFill="1" applyBorder="1" applyAlignment="1">
      <alignment/>
    </xf>
    <xf numFmtId="0" fontId="0" fillId="4" borderId="52" xfId="0" applyFill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20" fillId="0" borderId="25" xfId="0" applyFont="1" applyBorder="1" applyAlignment="1">
      <alignment/>
    </xf>
    <xf numFmtId="0" fontId="0" fillId="0" borderId="36" xfId="0" applyFill="1" applyBorder="1" applyAlignment="1">
      <alignment/>
    </xf>
    <xf numFmtId="0" fontId="0" fillId="0" borderId="56" xfId="0" applyBorder="1" applyAlignment="1">
      <alignment/>
    </xf>
    <xf numFmtId="0" fontId="23" fillId="0" borderId="0" xfId="0" applyFont="1" applyFill="1" applyBorder="1" applyAlignment="1">
      <alignment/>
    </xf>
    <xf numFmtId="0" fontId="20" fillId="20" borderId="47" xfId="0" applyFont="1" applyFill="1" applyBorder="1" applyAlignment="1">
      <alignment vertical="center" wrapText="1"/>
    </xf>
    <xf numFmtId="0" fontId="20" fillId="20" borderId="48" xfId="0" applyFont="1" applyFill="1" applyBorder="1" applyAlignment="1">
      <alignment horizontal="center" vertical="center"/>
    </xf>
    <xf numFmtId="0" fontId="20" fillId="20" borderId="48" xfId="0" applyFont="1" applyFill="1" applyBorder="1" applyAlignment="1">
      <alignment horizontal="center" vertical="center" wrapText="1"/>
    </xf>
    <xf numFmtId="0" fontId="20" fillId="20" borderId="49" xfId="0" applyFont="1" applyFill="1" applyBorder="1" applyAlignment="1">
      <alignment horizontal="center" vertical="center" wrapText="1"/>
    </xf>
    <xf numFmtId="0" fontId="0" fillId="25" borderId="50" xfId="0" applyFill="1" applyBorder="1" applyAlignment="1">
      <alignment/>
    </xf>
    <xf numFmtId="0" fontId="0" fillId="25" borderId="26" xfId="0" applyFill="1" applyBorder="1" applyAlignment="1">
      <alignment/>
    </xf>
    <xf numFmtId="0" fontId="20" fillId="25" borderId="47" xfId="0" applyFont="1" applyFill="1" applyBorder="1" applyAlignment="1">
      <alignment/>
    </xf>
    <xf numFmtId="0" fontId="20" fillId="25" borderId="37" xfId="0" applyFont="1" applyFill="1" applyBorder="1" applyAlignment="1">
      <alignment/>
    </xf>
    <xf numFmtId="0" fontId="0" fillId="0" borderId="44" xfId="0" applyBorder="1" applyAlignment="1">
      <alignment horizontal="center"/>
    </xf>
    <xf numFmtId="0" fontId="20" fillId="25" borderId="48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5" xfId="0" applyBorder="1" applyAlignment="1">
      <alignment horizontal="center"/>
    </xf>
    <xf numFmtId="0" fontId="23" fillId="25" borderId="48" xfId="0" applyFont="1" applyFill="1" applyBorder="1" applyAlignment="1">
      <alignment horizontal="center"/>
    </xf>
    <xf numFmtId="0" fontId="0" fillId="25" borderId="48" xfId="0" applyFill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7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/>
    </xf>
    <xf numFmtId="0" fontId="20" fillId="4" borderId="47" xfId="0" applyFont="1" applyFill="1" applyBorder="1" applyAlignment="1">
      <alignment/>
    </xf>
    <xf numFmtId="0" fontId="24" fillId="4" borderId="49" xfId="0" applyFont="1" applyFill="1" applyBorder="1" applyAlignment="1">
      <alignment horizontal="center" vertical="center"/>
    </xf>
    <xf numFmtId="0" fontId="0" fillId="4" borderId="26" xfId="0" applyFill="1" applyBorder="1" applyAlignment="1">
      <alignment/>
    </xf>
    <xf numFmtId="0" fontId="24" fillId="24" borderId="59" xfId="0" applyFont="1" applyFill="1" applyBorder="1" applyAlignment="1">
      <alignment horizontal="center" vertical="center"/>
    </xf>
    <xf numFmtId="0" fontId="24" fillId="24" borderId="17" xfId="0" applyFont="1" applyFill="1" applyBorder="1" applyAlignment="1">
      <alignment horizontal="center" vertical="center"/>
    </xf>
    <xf numFmtId="0" fontId="20" fillId="24" borderId="19" xfId="0" applyFont="1" applyFill="1" applyBorder="1" applyAlignment="1">
      <alignment horizontal="center"/>
    </xf>
    <xf numFmtId="0" fontId="20" fillId="25" borderId="49" xfId="0" applyFont="1" applyFill="1" applyBorder="1" applyAlignment="1">
      <alignment horizontal="center"/>
    </xf>
    <xf numFmtId="0" fontId="24" fillId="24" borderId="60" xfId="0" applyFont="1" applyFill="1" applyBorder="1" applyAlignment="1">
      <alignment horizontal="center"/>
    </xf>
    <xf numFmtId="0" fontId="20" fillId="24" borderId="55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164" fontId="20" fillId="15" borderId="18" xfId="0" applyNumberFormat="1" applyFont="1" applyFill="1" applyBorder="1" applyAlignment="1">
      <alignment horizontal="center"/>
    </xf>
    <xf numFmtId="164" fontId="20" fillId="15" borderId="17" xfId="0" applyNumberFormat="1" applyFont="1" applyFill="1" applyBorder="1" applyAlignment="1">
      <alignment horizontal="center"/>
    </xf>
    <xf numFmtId="164" fontId="20" fillId="15" borderId="19" xfId="0" applyNumberFormat="1" applyFont="1" applyFill="1" applyBorder="1" applyAlignment="1">
      <alignment horizontal="center"/>
    </xf>
    <xf numFmtId="0" fontId="24" fillId="15" borderId="53" xfId="0" applyFont="1" applyFill="1" applyBorder="1" applyAlignment="1">
      <alignment horizontal="center"/>
    </xf>
    <xf numFmtId="2" fontId="24" fillId="15" borderId="61" xfId="0" applyNumberFormat="1" applyFont="1" applyFill="1" applyBorder="1" applyAlignment="1">
      <alignment horizontal="center"/>
    </xf>
    <xf numFmtId="2" fontId="20" fillId="15" borderId="17" xfId="0" applyNumberFormat="1" applyFont="1" applyFill="1" applyBorder="1" applyAlignment="1">
      <alignment horizontal="center"/>
    </xf>
    <xf numFmtId="0" fontId="0" fillId="25" borderId="31" xfId="0" applyFill="1" applyBorder="1" applyAlignment="1">
      <alignment/>
    </xf>
    <xf numFmtId="0" fontId="0" fillId="25" borderId="35" xfId="0" applyFill="1" applyBorder="1" applyAlignment="1">
      <alignment/>
    </xf>
    <xf numFmtId="0" fontId="0" fillId="25" borderId="33" xfId="0" applyFill="1" applyBorder="1" applyAlignment="1">
      <alignment/>
    </xf>
    <xf numFmtId="2" fontId="0" fillId="7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4" fillId="0" borderId="5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2" fontId="25" fillId="17" borderId="46" xfId="0" applyNumberFormat="1" applyFont="1" applyFill="1" applyBorder="1" applyAlignment="1">
      <alignment/>
    </xf>
    <xf numFmtId="0" fontId="0" fillId="26" borderId="0" xfId="0" applyFill="1" applyAlignment="1">
      <alignment/>
    </xf>
    <xf numFmtId="0" fontId="22" fillId="26" borderId="0" xfId="0" applyFont="1" applyFill="1" applyAlignment="1">
      <alignment vertical="center"/>
    </xf>
    <xf numFmtId="0" fontId="20" fillId="0" borderId="11" xfId="0" applyFont="1" applyFill="1" applyBorder="1" applyAlignment="1">
      <alignment/>
    </xf>
    <xf numFmtId="0" fontId="0" fillId="15" borderId="62" xfId="0" applyFill="1" applyBorder="1" applyAlignment="1">
      <alignment/>
    </xf>
    <xf numFmtId="0" fontId="0" fillId="15" borderId="37" xfId="0" applyFill="1" applyBorder="1" applyAlignment="1">
      <alignment/>
    </xf>
    <xf numFmtId="0" fontId="20" fillId="15" borderId="34" xfId="0" applyFont="1" applyFill="1" applyBorder="1" applyAlignment="1">
      <alignment/>
    </xf>
    <xf numFmtId="0" fontId="20" fillId="24" borderId="63" xfId="0" applyFont="1" applyFill="1" applyBorder="1" applyAlignment="1">
      <alignment horizontal="center" vertical="center"/>
    </xf>
    <xf numFmtId="0" fontId="20" fillId="24" borderId="60" xfId="0" applyFont="1" applyFill="1" applyBorder="1" applyAlignment="1">
      <alignment horizontal="center" vertical="center"/>
    </xf>
    <xf numFmtId="0" fontId="20" fillId="24" borderId="54" xfId="0" applyFont="1" applyFill="1" applyBorder="1" applyAlignment="1">
      <alignment horizontal="center" vertical="center"/>
    </xf>
    <xf numFmtId="0" fontId="20" fillId="24" borderId="37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2" fontId="20" fillId="15" borderId="16" xfId="0" applyNumberFormat="1" applyFont="1" applyFill="1" applyBorder="1" applyAlignment="1">
      <alignment horizontal="center" vertical="center"/>
    </xf>
    <xf numFmtId="0" fontId="0" fillId="24" borderId="15" xfId="0" applyFill="1" applyBorder="1" applyAlignment="1">
      <alignment/>
    </xf>
    <xf numFmtId="0" fontId="0" fillId="24" borderId="57" xfId="0" applyFill="1" applyBorder="1" applyAlignment="1">
      <alignment/>
    </xf>
    <xf numFmtId="0" fontId="0" fillId="11" borderId="17" xfId="0" applyFill="1" applyBorder="1" applyAlignment="1">
      <alignment/>
    </xf>
    <xf numFmtId="0" fontId="0" fillId="11" borderId="19" xfId="0" applyFill="1" applyBorder="1" applyAlignment="1">
      <alignment/>
    </xf>
    <xf numFmtId="0" fontId="0" fillId="11" borderId="58" xfId="0" applyFill="1" applyBorder="1" applyAlignment="1">
      <alignment/>
    </xf>
    <xf numFmtId="0" fontId="20" fillId="17" borderId="34" xfId="0" applyFont="1" applyFill="1" applyBorder="1" applyAlignment="1">
      <alignment/>
    </xf>
    <xf numFmtId="0" fontId="24" fillId="17" borderId="37" xfId="0" applyFont="1" applyFill="1" applyBorder="1" applyAlignment="1">
      <alignment/>
    </xf>
    <xf numFmtId="0" fontId="0" fillId="11" borderId="10" xfId="0" applyFill="1" applyBorder="1" applyAlignment="1">
      <alignment/>
    </xf>
    <xf numFmtId="0" fontId="0" fillId="11" borderId="15" xfId="0" applyFill="1" applyBorder="1" applyAlignment="1">
      <alignment/>
    </xf>
    <xf numFmtId="0" fontId="0" fillId="11" borderId="57" xfId="0" applyFill="1" applyBorder="1" applyAlignment="1">
      <alignment/>
    </xf>
    <xf numFmtId="0" fontId="0" fillId="11" borderId="10" xfId="0" applyNumberFormat="1" applyFill="1" applyBorder="1" applyAlignment="1">
      <alignment/>
    </xf>
    <xf numFmtId="0" fontId="20" fillId="25" borderId="28" xfId="0" applyFont="1" applyFill="1" applyBorder="1" applyAlignment="1">
      <alignment horizontal="center"/>
    </xf>
    <xf numFmtId="0" fontId="20" fillId="25" borderId="37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19050</xdr:rowOff>
    </xdr:from>
    <xdr:to>
      <xdr:col>6</xdr:col>
      <xdr:colOff>1095375</xdr:colOff>
      <xdr:row>24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2886075"/>
          <a:ext cx="522922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0</xdr:rowOff>
    </xdr:from>
    <xdr:to>
      <xdr:col>0</xdr:col>
      <xdr:colOff>2152650</xdr:colOff>
      <xdr:row>4</xdr:row>
      <xdr:rowOff>609600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933450"/>
          <a:ext cx="2133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2190750</xdr:colOff>
      <xdr:row>4</xdr:row>
      <xdr:rowOff>57150</xdr:rowOff>
    </xdr:from>
    <xdr:to>
      <xdr:col>3</xdr:col>
      <xdr:colOff>981075</xdr:colOff>
      <xdr:row>4</xdr:row>
      <xdr:rowOff>647700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0" y="990600"/>
          <a:ext cx="3971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1000125</xdr:colOff>
      <xdr:row>4</xdr:row>
      <xdr:rowOff>38100</xdr:rowOff>
    </xdr:from>
    <xdr:to>
      <xdr:col>7</xdr:col>
      <xdr:colOff>809625</xdr:colOff>
      <xdr:row>4</xdr:row>
      <xdr:rowOff>657225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81725" y="971550"/>
          <a:ext cx="4238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781050</xdr:colOff>
      <xdr:row>4</xdr:row>
      <xdr:rowOff>38100</xdr:rowOff>
    </xdr:from>
    <xdr:to>
      <xdr:col>9</xdr:col>
      <xdr:colOff>447675</xdr:colOff>
      <xdr:row>4</xdr:row>
      <xdr:rowOff>666750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91775" y="971550"/>
          <a:ext cx="4248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3"/>
  <sheetViews>
    <sheetView tabSelected="1" zoomScalePageLayoutView="0" workbookViewId="0" topLeftCell="A1">
      <selection activeCell="A27" sqref="A27"/>
    </sheetView>
  </sheetViews>
  <sheetFormatPr defaultColWidth="9.00390625" defaultRowHeight="12.75"/>
  <cols>
    <col min="1" max="1" width="39.625" style="0" customWidth="1"/>
    <col min="2" max="2" width="17.625" style="0" customWidth="1"/>
    <col min="3" max="3" width="10.75390625" style="0" customWidth="1"/>
    <col min="4" max="4" width="15.75390625" style="0" customWidth="1"/>
    <col min="5" max="5" width="10.75390625" style="0" customWidth="1"/>
    <col min="6" max="6" width="17.00390625" style="0" customWidth="1"/>
    <col min="7" max="7" width="14.625" style="0" customWidth="1"/>
    <col min="8" max="8" width="47.125" style="0" customWidth="1"/>
    <col min="9" max="9" width="13.00390625" style="0" customWidth="1"/>
    <col min="10" max="10" width="14.875" style="0" customWidth="1"/>
    <col min="11" max="11" width="38.625" style="0" customWidth="1"/>
    <col min="12" max="12" width="9.375" style="0" customWidth="1"/>
  </cols>
  <sheetData>
    <row r="1" spans="1:10" ht="33.75" customHeight="1">
      <c r="A1" s="150" t="s">
        <v>162</v>
      </c>
      <c r="B1" s="149"/>
      <c r="C1" s="149"/>
      <c r="D1" s="149"/>
      <c r="E1" s="149"/>
      <c r="F1" s="149"/>
      <c r="G1" s="149"/>
      <c r="H1" s="149"/>
      <c r="I1" s="149"/>
      <c r="J1" s="151"/>
    </row>
    <row r="2" ht="13.5" thickBot="1"/>
    <row r="3" spans="1:9" ht="13.5" thickBot="1">
      <c r="A3" s="154" t="s">
        <v>163</v>
      </c>
      <c r="B3" s="152"/>
      <c r="C3" s="152"/>
      <c r="D3" s="152"/>
      <c r="E3" s="152"/>
      <c r="F3" s="152"/>
      <c r="G3" s="152"/>
      <c r="H3" s="152"/>
      <c r="I3" s="153"/>
    </row>
    <row r="5" ht="57.75" customHeight="1" thickBot="1"/>
    <row r="6" spans="1:9" ht="13.5" thickBot="1">
      <c r="A6" s="105" t="s">
        <v>70</v>
      </c>
      <c r="B6" s="106"/>
      <c r="C6" s="32"/>
      <c r="D6" s="32"/>
      <c r="E6" s="32"/>
      <c r="F6" s="32" t="s">
        <v>74</v>
      </c>
      <c r="G6" s="32"/>
      <c r="H6" s="32"/>
      <c r="I6" s="32"/>
    </row>
    <row r="7" spans="1:9" ht="13.5" thickBot="1">
      <c r="A7" s="26" t="s">
        <v>144</v>
      </c>
      <c r="B7" s="131">
        <f>(B8+B9+B10)</f>
        <v>25</v>
      </c>
      <c r="C7" s="27" t="s">
        <v>32</v>
      </c>
      <c r="D7" s="28"/>
      <c r="E7" s="28"/>
      <c r="F7" s="28"/>
      <c r="G7" s="155">
        <v>40</v>
      </c>
      <c r="H7" s="172" t="s">
        <v>1</v>
      </c>
      <c r="I7" s="173"/>
    </row>
    <row r="8" spans="1:9" ht="13.5" thickBot="1">
      <c r="A8" s="23" t="s">
        <v>16</v>
      </c>
      <c r="B8" s="125">
        <v>25</v>
      </c>
      <c r="C8" s="23" t="s">
        <v>30</v>
      </c>
      <c r="D8" s="29"/>
      <c r="E8" s="29"/>
      <c r="F8" s="29"/>
      <c r="G8" s="156">
        <v>30</v>
      </c>
      <c r="H8" s="134" t="s">
        <v>2</v>
      </c>
      <c r="I8" s="158">
        <v>20</v>
      </c>
    </row>
    <row r="9" spans="1:9" ht="13.5" thickBot="1">
      <c r="A9" s="23" t="s">
        <v>17</v>
      </c>
      <c r="B9" s="125">
        <v>0</v>
      </c>
      <c r="C9" s="23" t="s">
        <v>31</v>
      </c>
      <c r="D9" s="29"/>
      <c r="E9" s="29"/>
      <c r="F9" s="29"/>
      <c r="G9" s="156">
        <v>25</v>
      </c>
      <c r="H9" s="135" t="s">
        <v>3</v>
      </c>
      <c r="I9" s="158">
        <v>20</v>
      </c>
    </row>
    <row r="10" spans="1:9" ht="13.5" thickBot="1">
      <c r="A10" s="23" t="s">
        <v>18</v>
      </c>
      <c r="B10" s="125">
        <v>0</v>
      </c>
      <c r="C10" s="23" t="s">
        <v>19</v>
      </c>
      <c r="D10" s="29"/>
      <c r="E10" s="29"/>
      <c r="F10" s="29"/>
      <c r="G10" s="156">
        <v>10</v>
      </c>
      <c r="H10" s="135" t="s">
        <v>4</v>
      </c>
      <c r="I10" s="158">
        <v>4</v>
      </c>
    </row>
    <row r="11" spans="1:9" ht="13.5" thickBot="1">
      <c r="A11" s="23" t="s">
        <v>0</v>
      </c>
      <c r="B11" s="125">
        <v>5</v>
      </c>
      <c r="C11" s="23" t="s">
        <v>169</v>
      </c>
      <c r="D11" s="29"/>
      <c r="E11" s="29"/>
      <c r="F11" s="29"/>
      <c r="G11" s="156">
        <v>50</v>
      </c>
      <c r="H11" s="135" t="s">
        <v>5</v>
      </c>
      <c r="I11" s="159">
        <v>2</v>
      </c>
    </row>
    <row r="12" spans="1:9" ht="13.5" thickBot="1">
      <c r="A12" s="23" t="s">
        <v>14</v>
      </c>
      <c r="B12" s="125">
        <v>1.5</v>
      </c>
      <c r="C12" s="30" t="s">
        <v>20</v>
      </c>
      <c r="D12" s="31"/>
      <c r="E12" s="31"/>
      <c r="F12" s="31"/>
      <c r="G12" s="157">
        <v>2</v>
      </c>
      <c r="H12" s="135" t="s">
        <v>171</v>
      </c>
      <c r="I12" s="158">
        <v>0</v>
      </c>
    </row>
    <row r="13" spans="1:9" ht="13.5" thickBot="1">
      <c r="A13" s="23" t="s">
        <v>15</v>
      </c>
      <c r="B13" s="125">
        <v>2.5</v>
      </c>
      <c r="C13" s="15"/>
      <c r="D13" s="15"/>
      <c r="E13" s="15"/>
      <c r="F13" s="15"/>
      <c r="G13" s="16"/>
      <c r="H13" s="136" t="s">
        <v>150</v>
      </c>
      <c r="I13" s="160">
        <f>(I8+I9)/(I8*I9)*I12*I10*I11</f>
        <v>0</v>
      </c>
    </row>
    <row r="14" spans="1:7" ht="13.5" thickBot="1">
      <c r="A14" s="24" t="s">
        <v>71</v>
      </c>
      <c r="B14" s="132">
        <f>B12*2+B13*2+B7*2+B11*2</f>
        <v>68</v>
      </c>
      <c r="C14" s="16"/>
      <c r="D14" s="16"/>
      <c r="E14" s="16"/>
      <c r="F14" s="16"/>
      <c r="G14" s="16"/>
    </row>
    <row r="15" spans="1:9" ht="13.5" thickBot="1">
      <c r="A15" s="81" t="s">
        <v>72</v>
      </c>
      <c r="B15" s="124"/>
      <c r="H15" s="33" t="s">
        <v>97</v>
      </c>
      <c r="I15" s="63" t="s">
        <v>21</v>
      </c>
    </row>
    <row r="16" spans="1:9" ht="13.5" thickBot="1">
      <c r="A16" s="103" t="s">
        <v>148</v>
      </c>
      <c r="B16" s="126">
        <v>70</v>
      </c>
      <c r="H16" s="65" t="s">
        <v>98</v>
      </c>
      <c r="I16" s="66" t="s">
        <v>22</v>
      </c>
    </row>
    <row r="17" spans="1:9" ht="13.5" thickBot="1">
      <c r="A17" s="81" t="s">
        <v>105</v>
      </c>
      <c r="B17" s="124"/>
      <c r="H17" s="64" t="s">
        <v>94</v>
      </c>
      <c r="I17" s="67" t="s">
        <v>102</v>
      </c>
    </row>
    <row r="18" spans="1:9" ht="13.5" thickBot="1">
      <c r="A18" s="103" t="s">
        <v>106</v>
      </c>
      <c r="B18" s="127">
        <v>50</v>
      </c>
      <c r="H18" s="34" t="s">
        <v>95</v>
      </c>
      <c r="I18" s="68" t="s">
        <v>103</v>
      </c>
    </row>
    <row r="19" spans="1:9" ht="13.5" thickBot="1">
      <c r="A19" s="104" t="s">
        <v>73</v>
      </c>
      <c r="B19" s="128">
        <f>(B8*B11)*B12+B9*B12*B11+(B9*(B12-B13)/2)*B11+B10*B11*B13</f>
        <v>187.5</v>
      </c>
      <c r="H19" s="62" t="s">
        <v>96</v>
      </c>
      <c r="I19" s="69" t="s">
        <v>104</v>
      </c>
    </row>
    <row r="20" spans="1:9" ht="12.75">
      <c r="A20" s="23" t="s">
        <v>10</v>
      </c>
      <c r="B20" s="129">
        <f>((B7*B12)-(B12-B13)*B10-(B9*(B12-B13))/2)*2+B12*B11+B13*B11</f>
        <v>95</v>
      </c>
      <c r="H20" s="70" t="s">
        <v>99</v>
      </c>
      <c r="I20" s="71"/>
    </row>
    <row r="21" spans="1:9" ht="12.75">
      <c r="A21" s="23" t="s">
        <v>13</v>
      </c>
      <c r="B21" s="133">
        <f>(B8*B11)+(B11*SQRT((B9*B9)+(B12-B13)*(B12-B13)))+B10*B11</f>
        <v>130</v>
      </c>
      <c r="H21" s="70" t="s">
        <v>101</v>
      </c>
      <c r="I21" s="71"/>
    </row>
    <row r="22" spans="1:9" ht="13.5" thickBot="1">
      <c r="A22" s="25" t="s">
        <v>6</v>
      </c>
      <c r="B22" s="130">
        <f>B20+B21+B18</f>
        <v>275</v>
      </c>
      <c r="H22" s="70" t="s">
        <v>100</v>
      </c>
      <c r="I22" s="72"/>
    </row>
    <row r="23" spans="1:9" ht="12.75">
      <c r="A23" s="16" t="s">
        <v>145</v>
      </c>
      <c r="B23" s="14"/>
      <c r="H23" s="36" t="s">
        <v>170</v>
      </c>
      <c r="I23" s="37"/>
    </row>
    <row r="24" spans="1:9" ht="12.75">
      <c r="A24" s="16" t="s">
        <v>146</v>
      </c>
      <c r="B24" s="14"/>
      <c r="H24" s="38" t="s">
        <v>63</v>
      </c>
      <c r="I24" s="35">
        <v>1.5</v>
      </c>
    </row>
    <row r="25" spans="1:9" ht="12.75">
      <c r="A25" s="16" t="s">
        <v>147</v>
      </c>
      <c r="B25" s="14"/>
      <c r="H25" s="38" t="s">
        <v>62</v>
      </c>
      <c r="I25" s="35">
        <v>1.6</v>
      </c>
    </row>
    <row r="26" spans="1:9" ht="12.75">
      <c r="A26" s="16" t="s">
        <v>149</v>
      </c>
      <c r="H26" s="38" t="s">
        <v>65</v>
      </c>
      <c r="I26" s="35">
        <v>1.6</v>
      </c>
    </row>
    <row r="27" spans="8:9" ht="13.5" thickBot="1">
      <c r="H27" s="39" t="s">
        <v>75</v>
      </c>
      <c r="I27" s="40">
        <v>1.6</v>
      </c>
    </row>
    <row r="28" spans="1:7" ht="51.75" thickBot="1">
      <c r="A28" s="99" t="s">
        <v>7</v>
      </c>
      <c r="B28" s="100" t="s">
        <v>8</v>
      </c>
      <c r="C28" s="101" t="s">
        <v>111</v>
      </c>
      <c r="D28" s="101" t="s">
        <v>9</v>
      </c>
      <c r="E28" s="101" t="s">
        <v>165</v>
      </c>
      <c r="F28" s="102" t="s">
        <v>153</v>
      </c>
      <c r="G28" s="16"/>
    </row>
    <row r="29" spans="1:7" ht="13.5" thickBot="1">
      <c r="A29" s="87"/>
      <c r="B29" s="74"/>
      <c r="C29" s="107"/>
      <c r="D29" s="74"/>
      <c r="E29" s="74"/>
      <c r="F29" s="94"/>
      <c r="G29" s="16"/>
    </row>
    <row r="30" spans="1:11" ht="13.5" thickBot="1">
      <c r="A30" s="81" t="s">
        <v>164</v>
      </c>
      <c r="B30" s="82"/>
      <c r="C30" s="108"/>
      <c r="D30" s="82"/>
      <c r="E30" s="83"/>
      <c r="F30" s="84"/>
      <c r="G30" s="16"/>
      <c r="H30" s="166" t="s">
        <v>76</v>
      </c>
      <c r="I30" s="167"/>
      <c r="J30" s="6"/>
      <c r="K30" s="6"/>
    </row>
    <row r="31" spans="1:11" ht="12.75">
      <c r="A31" s="140"/>
      <c r="B31" s="141"/>
      <c r="C31" s="142"/>
      <c r="D31" s="141"/>
      <c r="E31" s="141"/>
      <c r="F31" s="12"/>
      <c r="G31" s="16"/>
      <c r="H31" s="41" t="s">
        <v>83</v>
      </c>
      <c r="I31" s="47"/>
      <c r="J31" s="6"/>
      <c r="K31" s="6"/>
    </row>
    <row r="32" spans="1:9" ht="13.5" thickBot="1">
      <c r="A32" s="34" t="s">
        <v>23</v>
      </c>
      <c r="B32" s="1" t="s">
        <v>107</v>
      </c>
      <c r="C32" s="2">
        <v>0.25</v>
      </c>
      <c r="D32" s="168">
        <f>CEILING(B20*C32,5)*I33</f>
        <v>25</v>
      </c>
      <c r="E32" s="10"/>
      <c r="F32" s="164">
        <f aca="true" t="shared" si="0" ref="F32:F93">D32*E32</f>
        <v>0</v>
      </c>
      <c r="G32" s="16"/>
      <c r="H32" s="55" t="s">
        <v>84</v>
      </c>
      <c r="I32" s="56"/>
    </row>
    <row r="33" spans="1:11" ht="13.5" thickBot="1">
      <c r="A33" s="62" t="s">
        <v>24</v>
      </c>
      <c r="B33" s="8" t="s">
        <v>108</v>
      </c>
      <c r="C33" s="110">
        <v>0.5</v>
      </c>
      <c r="D33" s="169">
        <f>CEILING(B20*C33,5)*I34</f>
        <v>0</v>
      </c>
      <c r="E33" s="161"/>
      <c r="F33" s="164">
        <f t="shared" si="0"/>
        <v>0</v>
      </c>
      <c r="G33" s="16"/>
      <c r="H33" s="45" t="s">
        <v>23</v>
      </c>
      <c r="I33" s="52">
        <v>1</v>
      </c>
      <c r="J33" s="6"/>
      <c r="K33" s="6"/>
    </row>
    <row r="34" spans="1:11" ht="13.5" thickBot="1">
      <c r="A34" s="87"/>
      <c r="B34" s="74"/>
      <c r="C34" s="107"/>
      <c r="D34" s="74"/>
      <c r="E34" s="74"/>
      <c r="F34" s="94"/>
      <c r="G34" s="16"/>
      <c r="H34" s="43" t="s">
        <v>24</v>
      </c>
      <c r="I34" s="48">
        <v>0</v>
      </c>
      <c r="J34" s="6"/>
      <c r="K34" s="6"/>
    </row>
    <row r="35" spans="1:11" ht="13.5" thickBot="1">
      <c r="A35" s="85" t="s">
        <v>34</v>
      </c>
      <c r="B35" s="86"/>
      <c r="C35" s="111"/>
      <c r="D35" s="86"/>
      <c r="E35" s="86"/>
      <c r="F35" s="84"/>
      <c r="G35" s="98"/>
      <c r="H35" s="41" t="s">
        <v>85</v>
      </c>
      <c r="I35" s="57"/>
      <c r="J35" s="6"/>
      <c r="K35" s="6"/>
    </row>
    <row r="36" spans="1:11" ht="13.5" thickBot="1">
      <c r="A36" s="87"/>
      <c r="B36" s="73"/>
      <c r="C36" s="109"/>
      <c r="D36" s="73"/>
      <c r="E36" s="73"/>
      <c r="F36" s="80"/>
      <c r="G36" s="16"/>
      <c r="H36" s="55" t="s">
        <v>92</v>
      </c>
      <c r="I36" s="58"/>
      <c r="K36" s="6"/>
    </row>
    <row r="37" spans="1:11" ht="13.5" thickBot="1">
      <c r="A37" s="90" t="s">
        <v>26</v>
      </c>
      <c r="B37" s="75" t="s">
        <v>107</v>
      </c>
      <c r="C37" s="2">
        <v>0.25</v>
      </c>
      <c r="D37" s="168">
        <f>CEILING(B20*C37,5)*I37</f>
        <v>0</v>
      </c>
      <c r="E37" s="10"/>
      <c r="F37" s="163">
        <f t="shared" si="0"/>
        <v>0</v>
      </c>
      <c r="G37" s="16"/>
      <c r="H37" s="45" t="s">
        <v>26</v>
      </c>
      <c r="I37" s="52">
        <v>0</v>
      </c>
      <c r="K37" s="6"/>
    </row>
    <row r="38" spans="1:11" ht="13.5" thickBot="1">
      <c r="A38" s="87"/>
      <c r="B38" s="1"/>
      <c r="C38" s="2"/>
      <c r="D38" s="1"/>
      <c r="E38" s="1"/>
      <c r="F38" s="11"/>
      <c r="G38" s="16"/>
      <c r="H38" s="53" t="s">
        <v>91</v>
      </c>
      <c r="I38" s="51">
        <v>1</v>
      </c>
      <c r="J38" s="6"/>
      <c r="K38" s="6"/>
    </row>
    <row r="39" spans="1:11" ht="13.5" thickBot="1">
      <c r="A39" s="46" t="s">
        <v>25</v>
      </c>
      <c r="B39" s="75" t="s">
        <v>108</v>
      </c>
      <c r="C39" s="2">
        <v>0.25</v>
      </c>
      <c r="D39" s="168">
        <f>CEILING(B20*C39,5)*I38</f>
        <v>25</v>
      </c>
      <c r="E39" s="10"/>
      <c r="F39" s="163">
        <f t="shared" si="0"/>
        <v>0</v>
      </c>
      <c r="G39" s="16"/>
      <c r="H39" s="43" t="s">
        <v>93</v>
      </c>
      <c r="I39" s="48">
        <v>0</v>
      </c>
      <c r="J39" s="6"/>
      <c r="K39" s="6"/>
    </row>
    <row r="40" spans="1:11" ht="13.5" thickBot="1">
      <c r="A40" s="88" t="s">
        <v>35</v>
      </c>
      <c r="B40" s="75" t="s">
        <v>109</v>
      </c>
      <c r="C40" s="2">
        <v>0.75</v>
      </c>
      <c r="D40" s="168">
        <f>CEILING(B20*C40,20)*I38</f>
        <v>80</v>
      </c>
      <c r="E40" s="10"/>
      <c r="F40" s="163">
        <f t="shared" si="0"/>
        <v>0</v>
      </c>
      <c r="G40" s="16"/>
      <c r="H40" s="41" t="s">
        <v>87</v>
      </c>
      <c r="I40" s="57"/>
      <c r="J40" s="6"/>
      <c r="K40" s="6"/>
    </row>
    <row r="41" spans="1:11" ht="13.5" thickBot="1">
      <c r="A41" s="87"/>
      <c r="B41" s="1"/>
      <c r="C41" s="2"/>
      <c r="D41" s="1"/>
      <c r="E41" s="1"/>
      <c r="F41" s="11"/>
      <c r="G41" s="16"/>
      <c r="H41" s="55" t="s">
        <v>86</v>
      </c>
      <c r="I41" s="58"/>
      <c r="J41" s="6"/>
      <c r="K41" s="6"/>
    </row>
    <row r="42" spans="1:11" ht="13.5" thickBot="1">
      <c r="A42" s="90" t="s">
        <v>25</v>
      </c>
      <c r="B42" s="75" t="s">
        <v>108</v>
      </c>
      <c r="C42" s="2">
        <v>0.25</v>
      </c>
      <c r="D42" s="168">
        <f>CEILING(B20*C42,5)*I39</f>
        <v>0</v>
      </c>
      <c r="E42" s="10"/>
      <c r="F42" s="163">
        <f t="shared" si="0"/>
        <v>0</v>
      </c>
      <c r="G42" s="16"/>
      <c r="H42" s="45" t="s">
        <v>26</v>
      </c>
      <c r="I42" s="52">
        <v>0</v>
      </c>
      <c r="J42" s="6"/>
      <c r="K42" s="6"/>
    </row>
    <row r="43" spans="1:11" ht="13.5" thickBot="1">
      <c r="A43" s="91" t="s">
        <v>36</v>
      </c>
      <c r="B43" s="115" t="s">
        <v>109</v>
      </c>
      <c r="C43" s="116">
        <v>0.75</v>
      </c>
      <c r="D43" s="170">
        <f>CEILING(B20*C43,20)*I39</f>
        <v>0</v>
      </c>
      <c r="E43" s="162"/>
      <c r="F43" s="165">
        <f t="shared" si="0"/>
        <v>0</v>
      </c>
      <c r="G43" s="16"/>
      <c r="H43" s="53" t="s">
        <v>91</v>
      </c>
      <c r="I43" s="48">
        <v>1</v>
      </c>
      <c r="J43" s="6"/>
      <c r="K43" s="6"/>
    </row>
    <row r="44" spans="1:11" ht="13.5" thickBot="1">
      <c r="A44" s="87"/>
      <c r="B44" s="115"/>
      <c r="C44" s="116"/>
      <c r="D44" s="115"/>
      <c r="E44" s="115"/>
      <c r="F44" s="117"/>
      <c r="G44" s="16"/>
      <c r="H44" s="43" t="s">
        <v>93</v>
      </c>
      <c r="I44" s="48">
        <v>0</v>
      </c>
      <c r="J44" s="6"/>
      <c r="K44" s="6"/>
    </row>
    <row r="45" spans="1:11" ht="13.5" thickBot="1">
      <c r="A45" s="81" t="s">
        <v>77</v>
      </c>
      <c r="B45" s="83"/>
      <c r="C45" s="112"/>
      <c r="D45" s="83"/>
      <c r="E45" s="83"/>
      <c r="F45" s="84"/>
      <c r="G45" s="16"/>
      <c r="H45" s="50" t="s">
        <v>27</v>
      </c>
      <c r="I45" s="59"/>
      <c r="J45" s="6"/>
      <c r="K45" s="6"/>
    </row>
    <row r="46" spans="1:11" ht="13.5" thickBot="1">
      <c r="A46" s="87"/>
      <c r="B46" s="73"/>
      <c r="C46" s="109"/>
      <c r="D46" s="73"/>
      <c r="E46" s="73"/>
      <c r="F46" s="80"/>
      <c r="G46" s="16"/>
      <c r="H46" s="45" t="s">
        <v>28</v>
      </c>
      <c r="I46" s="52">
        <v>1</v>
      </c>
      <c r="J46" s="6"/>
      <c r="K46" s="6"/>
    </row>
    <row r="47" spans="1:11" ht="13.5" thickBot="1">
      <c r="A47" s="90" t="s">
        <v>26</v>
      </c>
      <c r="B47" s="1" t="s">
        <v>107</v>
      </c>
      <c r="C47" s="2">
        <v>0.25</v>
      </c>
      <c r="D47" s="168">
        <f>CEILING(B18*C47,5)*I42</f>
        <v>0</v>
      </c>
      <c r="E47" s="10"/>
      <c r="F47" s="163">
        <f t="shared" si="0"/>
        <v>0</v>
      </c>
      <c r="G47" s="16"/>
      <c r="H47" s="43" t="s">
        <v>29</v>
      </c>
      <c r="I47" s="48">
        <v>1</v>
      </c>
      <c r="J47" s="6"/>
      <c r="K47" s="6"/>
    </row>
    <row r="48" spans="1:11" ht="13.5" thickBot="1">
      <c r="A48" s="87"/>
      <c r="B48" s="1"/>
      <c r="C48" s="2"/>
      <c r="D48" s="1"/>
      <c r="E48" s="1"/>
      <c r="F48" s="11"/>
      <c r="G48" s="16"/>
      <c r="H48" s="118" t="s">
        <v>38</v>
      </c>
      <c r="I48" s="119"/>
      <c r="J48" s="6"/>
      <c r="K48" s="6"/>
    </row>
    <row r="49" spans="1:11" ht="12.75">
      <c r="A49" s="46" t="s">
        <v>25</v>
      </c>
      <c r="B49" s="75" t="s">
        <v>108</v>
      </c>
      <c r="C49" s="2">
        <v>0.25</v>
      </c>
      <c r="D49" s="168">
        <f>CEILING(B18*C49,5)*I43</f>
        <v>15</v>
      </c>
      <c r="E49" s="10"/>
      <c r="F49" s="163">
        <f t="shared" si="0"/>
        <v>0</v>
      </c>
      <c r="G49" s="16"/>
      <c r="H49" s="120" t="s">
        <v>33</v>
      </c>
      <c r="I49" s="121">
        <v>1</v>
      </c>
      <c r="J49" s="6"/>
      <c r="K49" s="6"/>
    </row>
    <row r="50" spans="1:11" ht="13.5" thickBot="1">
      <c r="A50" s="88" t="s">
        <v>35</v>
      </c>
      <c r="B50" s="75" t="s">
        <v>109</v>
      </c>
      <c r="C50" s="2">
        <v>0.75</v>
      </c>
      <c r="D50" s="168">
        <f>CEILING(B18*C50,20)*I43</f>
        <v>40</v>
      </c>
      <c r="E50" s="10"/>
      <c r="F50" s="163">
        <f t="shared" si="0"/>
        <v>0</v>
      </c>
      <c r="G50" s="16"/>
      <c r="H50" s="34" t="s">
        <v>37</v>
      </c>
      <c r="I50" s="122">
        <v>0</v>
      </c>
      <c r="J50" s="6"/>
      <c r="K50" s="6"/>
    </row>
    <row r="51" spans="1:11" ht="13.5" thickBot="1">
      <c r="A51" s="87"/>
      <c r="B51" s="1"/>
      <c r="C51" s="2"/>
      <c r="D51" s="1"/>
      <c r="E51" s="1"/>
      <c r="F51" s="11"/>
      <c r="G51" s="16"/>
      <c r="H51" s="34" t="s">
        <v>28</v>
      </c>
      <c r="I51" s="122">
        <v>0</v>
      </c>
      <c r="J51" s="6"/>
      <c r="K51" s="6"/>
    </row>
    <row r="52" spans="1:11" ht="13.5" thickBot="1">
      <c r="A52" s="46" t="s">
        <v>25</v>
      </c>
      <c r="B52" s="75" t="s">
        <v>108</v>
      </c>
      <c r="C52" s="2">
        <v>0.25</v>
      </c>
      <c r="D52" s="168">
        <f>CEILING(B18*C52,5)*I44</f>
        <v>0</v>
      </c>
      <c r="E52" s="10"/>
      <c r="F52" s="163">
        <f t="shared" si="0"/>
        <v>0</v>
      </c>
      <c r="G52" s="16"/>
      <c r="H52" s="62" t="s">
        <v>112</v>
      </c>
      <c r="I52" s="123">
        <v>0</v>
      </c>
      <c r="J52" s="6"/>
      <c r="K52" s="6"/>
    </row>
    <row r="53" spans="1:11" ht="13.5" thickBot="1">
      <c r="A53" s="88" t="s">
        <v>36</v>
      </c>
      <c r="B53" s="115" t="s">
        <v>109</v>
      </c>
      <c r="C53" s="116">
        <v>0.75</v>
      </c>
      <c r="D53" s="170">
        <f>CEILING(B18*C53,20)*I44</f>
        <v>0</v>
      </c>
      <c r="E53" s="162"/>
      <c r="F53" s="165">
        <f t="shared" si="0"/>
        <v>0</v>
      </c>
      <c r="G53" s="16"/>
      <c r="H53" s="118" t="s">
        <v>114</v>
      </c>
      <c r="I53" s="119"/>
      <c r="J53" s="6"/>
      <c r="K53" s="6"/>
    </row>
    <row r="54" spans="1:11" ht="13.5" thickBot="1">
      <c r="A54" s="87"/>
      <c r="B54" s="115"/>
      <c r="C54" s="116"/>
      <c r="D54" s="115"/>
      <c r="E54" s="115"/>
      <c r="F54" s="117"/>
      <c r="G54" s="16"/>
      <c r="H54" s="120" t="s">
        <v>33</v>
      </c>
      <c r="I54" s="121">
        <v>1</v>
      </c>
      <c r="J54" s="6"/>
      <c r="K54" s="6"/>
    </row>
    <row r="55" spans="1:11" ht="13.5" thickBot="1">
      <c r="A55" s="81" t="s">
        <v>27</v>
      </c>
      <c r="B55" s="83"/>
      <c r="C55" s="112"/>
      <c r="D55" s="83"/>
      <c r="E55" s="83"/>
      <c r="F55" s="84"/>
      <c r="G55" s="16"/>
      <c r="H55" s="34" t="s">
        <v>37</v>
      </c>
      <c r="I55" s="122">
        <v>0</v>
      </c>
      <c r="J55" s="6"/>
      <c r="K55" s="6"/>
    </row>
    <row r="56" spans="1:11" ht="12.75">
      <c r="A56" s="79"/>
      <c r="B56" s="73"/>
      <c r="C56" s="109"/>
      <c r="D56" s="73"/>
      <c r="E56" s="73"/>
      <c r="F56" s="80"/>
      <c r="G56" s="16"/>
      <c r="H56" s="34" t="s">
        <v>28</v>
      </c>
      <c r="I56" s="122">
        <v>0</v>
      </c>
      <c r="J56" s="6"/>
      <c r="K56" s="6"/>
    </row>
    <row r="57" spans="1:11" ht="13.5" thickBot="1">
      <c r="A57" s="34" t="s">
        <v>28</v>
      </c>
      <c r="B57" s="1" t="s">
        <v>110</v>
      </c>
      <c r="C57" s="2">
        <v>1.6</v>
      </c>
      <c r="D57" s="168">
        <f>CEILING(B20*G9*C57,25)*I46</f>
        <v>3800</v>
      </c>
      <c r="E57" s="10"/>
      <c r="F57" s="163">
        <f t="shared" si="0"/>
        <v>0</v>
      </c>
      <c r="G57" s="16"/>
      <c r="H57" s="62" t="s">
        <v>112</v>
      </c>
      <c r="I57" s="123">
        <v>0</v>
      </c>
      <c r="J57" s="6"/>
      <c r="K57" s="6"/>
    </row>
    <row r="58" spans="1:11" ht="13.5" thickBot="1">
      <c r="A58" s="34" t="s">
        <v>29</v>
      </c>
      <c r="B58" s="75" t="s">
        <v>108</v>
      </c>
      <c r="C58" s="2">
        <v>0.07</v>
      </c>
      <c r="D58" s="168">
        <f>CEILING(B20*G9*C58,5)*I47</f>
        <v>170</v>
      </c>
      <c r="E58" s="10"/>
      <c r="F58" s="163">
        <f t="shared" si="0"/>
        <v>0</v>
      </c>
      <c r="G58" s="16"/>
      <c r="H58" s="55" t="s">
        <v>39</v>
      </c>
      <c r="I58" s="58"/>
      <c r="J58" s="6"/>
      <c r="K58" s="6"/>
    </row>
    <row r="59" spans="1:11" ht="13.5" thickBot="1">
      <c r="A59" s="17"/>
      <c r="B59" s="115"/>
      <c r="C59" s="116"/>
      <c r="D59" s="115"/>
      <c r="E59" s="115"/>
      <c r="F59" s="117"/>
      <c r="G59" s="16"/>
      <c r="H59" s="60" t="s">
        <v>40</v>
      </c>
      <c r="I59" s="52">
        <v>1</v>
      </c>
      <c r="J59" s="6"/>
      <c r="K59" s="6"/>
    </row>
    <row r="60" spans="1:11" ht="13.5" thickBot="1">
      <c r="A60" s="81" t="s">
        <v>38</v>
      </c>
      <c r="B60" s="83"/>
      <c r="C60" s="112"/>
      <c r="D60" s="83"/>
      <c r="E60" s="83"/>
      <c r="F60" s="84"/>
      <c r="G60" s="16"/>
      <c r="H60" s="43" t="s">
        <v>41</v>
      </c>
      <c r="I60" s="48">
        <v>0</v>
      </c>
      <c r="J60" s="6"/>
      <c r="K60" s="6"/>
    </row>
    <row r="61" spans="1:11" ht="13.5" thickBot="1">
      <c r="A61" s="79"/>
      <c r="B61" s="73"/>
      <c r="C61" s="109"/>
      <c r="D61" s="73"/>
      <c r="E61" s="73"/>
      <c r="F61" s="80"/>
      <c r="G61" s="16"/>
      <c r="H61" s="50" t="s">
        <v>42</v>
      </c>
      <c r="I61" s="59"/>
      <c r="J61" s="6"/>
      <c r="K61" s="6"/>
    </row>
    <row r="62" spans="1:11" ht="12.75">
      <c r="A62" s="34" t="s">
        <v>33</v>
      </c>
      <c r="B62" s="1" t="s">
        <v>110</v>
      </c>
      <c r="C62" s="2">
        <v>2</v>
      </c>
      <c r="D62" s="168">
        <f>CEILING(B21*G7*C62,25)*I49</f>
        <v>10400</v>
      </c>
      <c r="E62" s="10"/>
      <c r="F62" s="163">
        <f t="shared" si="0"/>
        <v>0</v>
      </c>
      <c r="G62" s="16"/>
      <c r="H62" s="60" t="s">
        <v>43</v>
      </c>
      <c r="I62" s="52">
        <v>1</v>
      </c>
      <c r="J62" s="6"/>
      <c r="K62" s="6"/>
    </row>
    <row r="63" spans="1:11" ht="12.75">
      <c r="A63" s="34" t="s">
        <v>37</v>
      </c>
      <c r="B63" s="1" t="s">
        <v>110</v>
      </c>
      <c r="C63" s="2">
        <v>2</v>
      </c>
      <c r="D63" s="168">
        <f>CEILING(B21*G7*C63*I50,25)</f>
        <v>0</v>
      </c>
      <c r="E63" s="10"/>
      <c r="F63" s="163">
        <f t="shared" si="0"/>
        <v>0</v>
      </c>
      <c r="G63" s="16"/>
      <c r="H63" s="54" t="s">
        <v>44</v>
      </c>
      <c r="I63" s="51">
        <v>1</v>
      </c>
      <c r="J63" s="6"/>
      <c r="K63" s="6"/>
    </row>
    <row r="64" spans="1:11" ht="12.75">
      <c r="A64" s="34" t="s">
        <v>28</v>
      </c>
      <c r="B64" s="1" t="s">
        <v>110</v>
      </c>
      <c r="C64" s="2">
        <v>1.6</v>
      </c>
      <c r="D64" s="168">
        <f>CEILING(B21*G7*C64,25)*I51</f>
        <v>0</v>
      </c>
      <c r="E64" s="10"/>
      <c r="F64" s="163">
        <f t="shared" si="0"/>
        <v>0</v>
      </c>
      <c r="G64" s="16"/>
      <c r="H64" s="54" t="s">
        <v>45</v>
      </c>
      <c r="I64" s="51">
        <v>1</v>
      </c>
      <c r="J64" s="6"/>
      <c r="K64" s="6"/>
    </row>
    <row r="65" spans="1:11" ht="12.75">
      <c r="A65" s="34" t="s">
        <v>115</v>
      </c>
      <c r="B65" s="75" t="s">
        <v>108</v>
      </c>
      <c r="C65" s="2">
        <v>0.07</v>
      </c>
      <c r="D65" s="170">
        <f>CEILING(B21*G7*C65,5)*I52</f>
        <v>0</v>
      </c>
      <c r="E65" s="162"/>
      <c r="F65" s="163">
        <f t="shared" si="0"/>
        <v>0</v>
      </c>
      <c r="G65" s="16"/>
      <c r="H65" s="54" t="s">
        <v>46</v>
      </c>
      <c r="I65" s="51">
        <v>0</v>
      </c>
      <c r="J65" s="6"/>
      <c r="K65" s="6"/>
    </row>
    <row r="66" spans="1:11" ht="13.5" thickBot="1">
      <c r="A66" s="17"/>
      <c r="B66" s="115"/>
      <c r="C66" s="115"/>
      <c r="D66" s="115"/>
      <c r="E66" s="115"/>
      <c r="F66" s="117"/>
      <c r="G66" s="16"/>
      <c r="H66" s="54" t="s">
        <v>47</v>
      </c>
      <c r="I66" s="51">
        <v>1</v>
      </c>
      <c r="J66" s="6"/>
      <c r="K66" s="6"/>
    </row>
    <row r="67" spans="1:11" ht="13.5" thickBot="1">
      <c r="A67" s="81" t="s">
        <v>113</v>
      </c>
      <c r="B67" s="83"/>
      <c r="C67" s="112"/>
      <c r="D67" s="83"/>
      <c r="E67" s="83"/>
      <c r="F67" s="84"/>
      <c r="G67" s="16"/>
      <c r="H67" s="43" t="s">
        <v>48</v>
      </c>
      <c r="I67" s="48">
        <v>1</v>
      </c>
      <c r="J67" s="6"/>
      <c r="K67" s="6"/>
    </row>
    <row r="68" spans="1:11" ht="13.5" thickBot="1">
      <c r="A68" s="79"/>
      <c r="B68" s="73"/>
      <c r="C68" s="109"/>
      <c r="D68" s="73"/>
      <c r="E68" s="73"/>
      <c r="F68" s="80"/>
      <c r="G68" s="16"/>
      <c r="H68" s="50" t="s">
        <v>49</v>
      </c>
      <c r="I68" s="59"/>
      <c r="J68" s="6"/>
      <c r="K68" s="6"/>
    </row>
    <row r="69" spans="1:11" ht="12.75">
      <c r="A69" s="34" t="s">
        <v>33</v>
      </c>
      <c r="B69" s="1" t="s">
        <v>110</v>
      </c>
      <c r="C69" s="2">
        <v>2</v>
      </c>
      <c r="D69" s="168">
        <f>CEILING(B18*G8*C69,25)*I54</f>
        <v>3000</v>
      </c>
      <c r="E69" s="10"/>
      <c r="F69" s="163">
        <f t="shared" si="0"/>
        <v>0</v>
      </c>
      <c r="G69" s="16"/>
      <c r="H69" s="60" t="s">
        <v>50</v>
      </c>
      <c r="I69" s="52">
        <v>0</v>
      </c>
      <c r="J69" s="6"/>
      <c r="K69" s="6"/>
    </row>
    <row r="70" spans="1:11" ht="13.5" thickBot="1">
      <c r="A70" s="34" t="s">
        <v>37</v>
      </c>
      <c r="B70" s="1" t="s">
        <v>110</v>
      </c>
      <c r="C70" s="2">
        <v>2</v>
      </c>
      <c r="D70" s="168">
        <f>CEILING(B18*G8*C70,25)*I55</f>
        <v>0</v>
      </c>
      <c r="E70" s="10"/>
      <c r="F70" s="163">
        <f t="shared" si="0"/>
        <v>0</v>
      </c>
      <c r="G70" s="16"/>
      <c r="H70" s="43" t="s">
        <v>51</v>
      </c>
      <c r="I70" s="48">
        <v>1</v>
      </c>
      <c r="J70" s="6"/>
      <c r="K70" s="6"/>
    </row>
    <row r="71" spans="1:11" ht="12.75">
      <c r="A71" s="34" t="s">
        <v>28</v>
      </c>
      <c r="B71" s="1" t="s">
        <v>110</v>
      </c>
      <c r="C71" s="2">
        <v>1.6</v>
      </c>
      <c r="D71" s="168">
        <f>CEILING(B18*G8*C71,25)*I56</f>
        <v>0</v>
      </c>
      <c r="E71" s="10"/>
      <c r="F71" s="163">
        <f t="shared" si="0"/>
        <v>0</v>
      </c>
      <c r="G71" s="16"/>
      <c r="H71" s="41" t="s">
        <v>88</v>
      </c>
      <c r="I71" s="57"/>
      <c r="J71" s="6"/>
      <c r="K71" s="6"/>
    </row>
    <row r="72" spans="1:11" ht="13.5" thickBot="1">
      <c r="A72" s="34" t="s">
        <v>29</v>
      </c>
      <c r="B72" s="75" t="s">
        <v>108</v>
      </c>
      <c r="C72" s="2">
        <v>0.07</v>
      </c>
      <c r="D72" s="170">
        <f>CEILING(B18*G8*C72*I57,5)</f>
        <v>0</v>
      </c>
      <c r="E72" s="162"/>
      <c r="F72" s="163">
        <f t="shared" si="0"/>
        <v>0</v>
      </c>
      <c r="G72" s="16"/>
      <c r="H72" s="55" t="s">
        <v>89</v>
      </c>
      <c r="I72" s="58"/>
      <c r="J72" s="6"/>
      <c r="K72" s="6"/>
    </row>
    <row r="73" spans="1:11" ht="13.5" thickBot="1">
      <c r="A73" s="17"/>
      <c r="B73" s="115"/>
      <c r="C73" s="115"/>
      <c r="D73" s="115"/>
      <c r="E73" s="115"/>
      <c r="F73" s="117"/>
      <c r="G73" s="16"/>
      <c r="H73" s="60" t="s">
        <v>78</v>
      </c>
      <c r="I73" s="52">
        <v>1</v>
      </c>
      <c r="J73" s="6"/>
      <c r="K73" s="6"/>
    </row>
    <row r="74" spans="1:11" ht="13.5" thickBot="1">
      <c r="A74" s="81" t="s">
        <v>39</v>
      </c>
      <c r="B74" s="83"/>
      <c r="C74" s="112"/>
      <c r="D74" s="83"/>
      <c r="E74" s="83"/>
      <c r="F74" s="84"/>
      <c r="G74" s="16"/>
      <c r="H74" s="54" t="s">
        <v>79</v>
      </c>
      <c r="I74" s="51">
        <v>0</v>
      </c>
      <c r="J74" s="6"/>
      <c r="K74" s="6"/>
    </row>
    <row r="75" spans="1:11" ht="12.75">
      <c r="A75" s="79"/>
      <c r="B75" s="73"/>
      <c r="C75" s="109"/>
      <c r="D75" s="73"/>
      <c r="E75" s="73"/>
      <c r="F75" s="80"/>
      <c r="G75" s="16"/>
      <c r="H75" s="54" t="s">
        <v>80</v>
      </c>
      <c r="I75" s="51">
        <v>0</v>
      </c>
      <c r="J75" s="6"/>
      <c r="K75" s="6"/>
    </row>
    <row r="76" spans="1:11" ht="13.5" thickBot="1">
      <c r="A76" s="34" t="s">
        <v>117</v>
      </c>
      <c r="B76" s="1" t="s">
        <v>120</v>
      </c>
      <c r="C76" s="2">
        <v>0.425</v>
      </c>
      <c r="D76" s="168">
        <f>CEILING(2*B22*C76,24)*I59</f>
        <v>240</v>
      </c>
      <c r="E76" s="10"/>
      <c r="F76" s="163">
        <f t="shared" si="0"/>
        <v>0</v>
      </c>
      <c r="G76" s="16"/>
      <c r="H76" s="42" t="s">
        <v>81</v>
      </c>
      <c r="I76" s="61">
        <v>0</v>
      </c>
      <c r="J76" s="6"/>
      <c r="K76" s="6"/>
    </row>
    <row r="77" spans="1:11" ht="12.75">
      <c r="A77" s="34" t="s">
        <v>116</v>
      </c>
      <c r="B77" s="1" t="s">
        <v>121</v>
      </c>
      <c r="C77" s="2">
        <v>1.275</v>
      </c>
      <c r="D77" s="168">
        <f>CEILING(B22*C77*2,8)*I59</f>
        <v>704</v>
      </c>
      <c r="E77" s="10"/>
      <c r="F77" s="163">
        <f t="shared" si="0"/>
        <v>0</v>
      </c>
      <c r="G77" s="16"/>
      <c r="H77" s="41" t="s">
        <v>90</v>
      </c>
      <c r="I77" s="57"/>
      <c r="J77" s="6"/>
      <c r="K77" s="6"/>
    </row>
    <row r="78" spans="1:11" ht="13.5" thickBot="1">
      <c r="A78" s="34" t="s">
        <v>118</v>
      </c>
      <c r="B78" s="1" t="s">
        <v>109</v>
      </c>
      <c r="C78" s="2">
        <v>0.535</v>
      </c>
      <c r="D78" s="168">
        <f>CEILING(2*B22*C78,20)*I60</f>
        <v>0</v>
      </c>
      <c r="E78" s="10"/>
      <c r="F78" s="163">
        <f t="shared" si="0"/>
        <v>0</v>
      </c>
      <c r="G78" s="16"/>
      <c r="H78" s="55" t="s">
        <v>89</v>
      </c>
      <c r="I78" s="58"/>
      <c r="J78" s="6"/>
      <c r="K78" s="6"/>
    </row>
    <row r="79" spans="1:11" ht="12.75">
      <c r="A79" s="34" t="s">
        <v>119</v>
      </c>
      <c r="B79" s="1" t="s">
        <v>122</v>
      </c>
      <c r="C79" s="2">
        <v>1.065</v>
      </c>
      <c r="D79" s="168">
        <f>CEILING(2*B22*C79,10)*I60</f>
        <v>0</v>
      </c>
      <c r="E79" s="10"/>
      <c r="F79" s="163">
        <f t="shared" si="0"/>
        <v>0</v>
      </c>
      <c r="G79" s="16"/>
      <c r="H79" s="60" t="s">
        <v>62</v>
      </c>
      <c r="I79" s="52">
        <v>0</v>
      </c>
      <c r="J79" s="6"/>
      <c r="K79" s="6"/>
    </row>
    <row r="80" spans="1:11" ht="13.5" thickBot="1">
      <c r="A80" s="17"/>
      <c r="B80" s="115"/>
      <c r="C80" s="116"/>
      <c r="D80" s="115"/>
      <c r="E80" s="115"/>
      <c r="F80" s="117"/>
      <c r="G80" s="16"/>
      <c r="H80" s="54" t="s">
        <v>82</v>
      </c>
      <c r="I80" s="51">
        <v>0</v>
      </c>
      <c r="J80" s="6"/>
      <c r="K80" s="6"/>
    </row>
    <row r="81" spans="1:11" ht="13.5" thickBot="1">
      <c r="A81" s="81" t="s">
        <v>42</v>
      </c>
      <c r="B81" s="83"/>
      <c r="C81" s="112"/>
      <c r="D81" s="83"/>
      <c r="E81" s="83"/>
      <c r="F81" s="84"/>
      <c r="G81" s="16"/>
      <c r="H81" s="54" t="s">
        <v>65</v>
      </c>
      <c r="I81" s="51">
        <v>0</v>
      </c>
      <c r="J81" s="6"/>
      <c r="K81" s="6"/>
    </row>
    <row r="82" spans="1:11" ht="12.75">
      <c r="A82" s="79"/>
      <c r="B82" s="73"/>
      <c r="C82" s="109"/>
      <c r="D82" s="73"/>
      <c r="E82" s="73"/>
      <c r="F82" s="80"/>
      <c r="G82" s="16"/>
      <c r="H82" s="54" t="s">
        <v>66</v>
      </c>
      <c r="I82" s="51">
        <v>1</v>
      </c>
      <c r="J82" s="6"/>
      <c r="K82" s="6"/>
    </row>
    <row r="83" spans="1:11" ht="13.5" thickBot="1">
      <c r="A83" s="34" t="s">
        <v>43</v>
      </c>
      <c r="B83" s="1" t="s">
        <v>123</v>
      </c>
      <c r="C83" s="2">
        <v>1</v>
      </c>
      <c r="D83" s="171">
        <f>CEILING((B14+B18)*C83,50)*I62</f>
        <v>150</v>
      </c>
      <c r="E83" s="10"/>
      <c r="F83" s="163">
        <f t="shared" si="0"/>
        <v>0</v>
      </c>
      <c r="G83" s="16"/>
      <c r="H83" s="43" t="s">
        <v>67</v>
      </c>
      <c r="I83" s="48">
        <v>1</v>
      </c>
      <c r="J83" s="6"/>
      <c r="K83" s="6"/>
    </row>
    <row r="84" spans="1:11" ht="13.5" thickBot="1">
      <c r="A84" s="34" t="s">
        <v>124</v>
      </c>
      <c r="B84" s="1" t="s">
        <v>125</v>
      </c>
      <c r="C84" s="2">
        <v>1</v>
      </c>
      <c r="D84" s="168">
        <f>G10*C84*I63</f>
        <v>10</v>
      </c>
      <c r="E84" s="10"/>
      <c r="F84" s="163">
        <f t="shared" si="0"/>
        <v>0</v>
      </c>
      <c r="G84" s="16"/>
      <c r="H84" s="50" t="s">
        <v>68</v>
      </c>
      <c r="I84" s="59"/>
      <c r="J84" s="6"/>
      <c r="K84" s="6"/>
    </row>
    <row r="85" spans="1:11" ht="13.5" thickBot="1">
      <c r="A85" s="34" t="s">
        <v>45</v>
      </c>
      <c r="B85" s="1" t="s">
        <v>126</v>
      </c>
      <c r="C85" s="2">
        <v>1.2</v>
      </c>
      <c r="D85" s="168">
        <f>CEILING(B22*C85,50)*I64</f>
        <v>350</v>
      </c>
      <c r="E85" s="10"/>
      <c r="F85" s="163">
        <f t="shared" si="0"/>
        <v>0</v>
      </c>
      <c r="G85" s="16"/>
      <c r="H85" s="44" t="s">
        <v>69</v>
      </c>
      <c r="I85" s="49">
        <v>1</v>
      </c>
      <c r="J85" s="6"/>
      <c r="K85" s="6"/>
    </row>
    <row r="86" spans="1:11" ht="12.75">
      <c r="A86" s="34" t="s">
        <v>46</v>
      </c>
      <c r="B86" s="1" t="s">
        <v>127</v>
      </c>
      <c r="C86" s="2">
        <v>1.2</v>
      </c>
      <c r="D86" s="168">
        <f>CEILING(B22*C86,25)*I65</f>
        <v>0</v>
      </c>
      <c r="E86" s="10"/>
      <c r="F86" s="163">
        <f t="shared" si="0"/>
        <v>0</v>
      </c>
      <c r="G86" s="16"/>
      <c r="J86" s="6"/>
      <c r="K86" s="6"/>
    </row>
    <row r="87" spans="1:11" ht="12.75">
      <c r="A87" s="34" t="s">
        <v>129</v>
      </c>
      <c r="B87" s="1" t="s">
        <v>130</v>
      </c>
      <c r="C87" s="2">
        <v>0.25</v>
      </c>
      <c r="D87" s="168">
        <f>CEILING(G10*C87,10)*I66</f>
        <v>10</v>
      </c>
      <c r="E87" s="10"/>
      <c r="F87" s="163">
        <f t="shared" si="0"/>
        <v>0</v>
      </c>
      <c r="G87" s="16"/>
      <c r="H87" s="6"/>
      <c r="I87" s="6"/>
      <c r="J87" s="6"/>
      <c r="K87" s="6"/>
    </row>
    <row r="88" spans="1:11" ht="12.75">
      <c r="A88" s="34" t="s">
        <v>128</v>
      </c>
      <c r="B88" s="1" t="s">
        <v>131</v>
      </c>
      <c r="C88" s="2">
        <v>27</v>
      </c>
      <c r="D88" s="168">
        <f>CEILING(G10*C88,320)*I67</f>
        <v>320</v>
      </c>
      <c r="E88" s="10"/>
      <c r="F88" s="163">
        <f t="shared" si="0"/>
        <v>0</v>
      </c>
      <c r="G88" s="16"/>
      <c r="H88" s="6"/>
      <c r="I88" s="6"/>
      <c r="J88" s="6"/>
      <c r="K88" s="6"/>
    </row>
    <row r="89" spans="1:11" ht="13.5" thickBot="1">
      <c r="A89" s="17"/>
      <c r="B89" s="115"/>
      <c r="C89" s="116"/>
      <c r="D89" s="115"/>
      <c r="E89" s="115"/>
      <c r="F89" s="117"/>
      <c r="G89" s="16"/>
      <c r="I89" s="6"/>
      <c r="J89" s="6"/>
      <c r="K89" s="6"/>
    </row>
    <row r="90" spans="1:11" ht="13.5" thickBot="1">
      <c r="A90" s="81" t="s">
        <v>49</v>
      </c>
      <c r="B90" s="83"/>
      <c r="C90" s="112"/>
      <c r="D90" s="83"/>
      <c r="E90" s="83"/>
      <c r="F90" s="84"/>
      <c r="G90" s="16"/>
      <c r="H90" s="6"/>
      <c r="I90" s="6"/>
      <c r="J90" s="6"/>
      <c r="K90" s="6"/>
    </row>
    <row r="91" spans="1:11" ht="12.75">
      <c r="A91" s="79"/>
      <c r="B91" s="73"/>
      <c r="C91" s="109"/>
      <c r="D91" s="73"/>
      <c r="E91" s="73"/>
      <c r="F91" s="80"/>
      <c r="G91" s="16"/>
      <c r="I91" s="6"/>
      <c r="J91" s="6"/>
      <c r="K91" s="6"/>
    </row>
    <row r="92" spans="1:11" ht="12.75">
      <c r="A92" s="34" t="s">
        <v>50</v>
      </c>
      <c r="B92" s="1" t="s">
        <v>110</v>
      </c>
      <c r="C92" s="2">
        <v>2</v>
      </c>
      <c r="D92" s="168">
        <f>CEILING(G11*C92,25)*I69</f>
        <v>0</v>
      </c>
      <c r="E92" s="10"/>
      <c r="F92" s="163">
        <f t="shared" si="0"/>
        <v>0</v>
      </c>
      <c r="G92" s="16"/>
      <c r="I92" s="6"/>
      <c r="J92" s="6"/>
      <c r="K92" s="6"/>
    </row>
    <row r="93" spans="1:11" ht="12.75">
      <c r="A93" s="34" t="s">
        <v>51</v>
      </c>
      <c r="B93" s="1" t="s">
        <v>110</v>
      </c>
      <c r="C93" s="2">
        <v>2</v>
      </c>
      <c r="D93" s="168">
        <f>CEILING(G11*C93,25)*I70</f>
        <v>100</v>
      </c>
      <c r="E93" s="10"/>
      <c r="F93" s="163">
        <f t="shared" si="0"/>
        <v>0</v>
      </c>
      <c r="G93" s="16"/>
      <c r="I93" s="6"/>
      <c r="J93" s="6"/>
      <c r="K93" s="6"/>
    </row>
    <row r="94" spans="1:11" ht="13.5" thickBot="1">
      <c r="A94" s="17"/>
      <c r="B94" s="115"/>
      <c r="C94" s="116"/>
      <c r="D94" s="115"/>
      <c r="E94" s="115"/>
      <c r="F94" s="117"/>
      <c r="G94" s="16"/>
      <c r="I94" s="6"/>
      <c r="J94" s="6"/>
      <c r="K94" s="6"/>
    </row>
    <row r="95" spans="1:11" ht="13.5" thickBot="1">
      <c r="A95" s="81" t="s">
        <v>52</v>
      </c>
      <c r="B95" s="83"/>
      <c r="C95" s="112"/>
      <c r="D95" s="83"/>
      <c r="E95" s="83"/>
      <c r="F95" s="84"/>
      <c r="G95" s="16"/>
      <c r="I95" s="6"/>
      <c r="J95" s="6"/>
      <c r="K95" s="6"/>
    </row>
    <row r="96" spans="1:11" ht="13.5" thickBot="1">
      <c r="A96" s="87"/>
      <c r="B96" s="73"/>
      <c r="C96" s="109"/>
      <c r="D96" s="73"/>
      <c r="E96" s="73"/>
      <c r="F96" s="80"/>
      <c r="G96" s="16"/>
      <c r="I96" s="6"/>
      <c r="J96" s="6"/>
      <c r="K96" s="6"/>
    </row>
    <row r="97" spans="1:11" ht="12.75">
      <c r="A97" s="46" t="s">
        <v>53</v>
      </c>
      <c r="B97" s="75" t="s">
        <v>110</v>
      </c>
      <c r="C97" s="2">
        <v>1.36</v>
      </c>
      <c r="D97" s="168">
        <f>CEILING(B22*G12*C97,25)*I73</f>
        <v>750</v>
      </c>
      <c r="E97" s="10"/>
      <c r="F97" s="163">
        <f aca="true" t="shared" si="1" ref="F97:F123">D97*E97</f>
        <v>0</v>
      </c>
      <c r="G97" s="16"/>
      <c r="I97" s="6"/>
      <c r="J97" s="6"/>
      <c r="K97" s="6"/>
    </row>
    <row r="98" spans="1:11" ht="13.5" thickBot="1">
      <c r="A98" s="88" t="s">
        <v>54</v>
      </c>
      <c r="B98" s="75" t="s">
        <v>132</v>
      </c>
      <c r="C98" s="2">
        <v>0.34</v>
      </c>
      <c r="D98" s="168">
        <f>CEILING(B22*G12*C98,5)*I73</f>
        <v>190</v>
      </c>
      <c r="E98" s="10"/>
      <c r="F98" s="163">
        <f t="shared" si="1"/>
        <v>0</v>
      </c>
      <c r="G98" s="16"/>
      <c r="I98" s="6"/>
      <c r="J98" s="6"/>
      <c r="K98" s="6"/>
    </row>
    <row r="99" spans="1:11" ht="13.5" thickBot="1">
      <c r="A99" s="87"/>
      <c r="B99" s="1"/>
      <c r="C99" s="2"/>
      <c r="D99" s="1"/>
      <c r="E99" s="1"/>
      <c r="F99" s="11"/>
      <c r="G99" s="16"/>
      <c r="I99" s="6"/>
      <c r="J99" s="6"/>
      <c r="K99" s="6"/>
    </row>
    <row r="100" spans="1:11" ht="12.75">
      <c r="A100" s="46" t="s">
        <v>55</v>
      </c>
      <c r="B100" s="75" t="s">
        <v>110</v>
      </c>
      <c r="C100" s="2">
        <v>1.1</v>
      </c>
      <c r="D100" s="168">
        <f>CEILING(B22*G12*C100,25)*I74</f>
        <v>0</v>
      </c>
      <c r="E100" s="10"/>
      <c r="F100" s="163">
        <f t="shared" si="1"/>
        <v>0</v>
      </c>
      <c r="G100" s="16"/>
      <c r="I100" s="6"/>
      <c r="J100" s="6"/>
      <c r="K100" s="6"/>
    </row>
    <row r="101" spans="1:11" ht="13.5" thickBot="1">
      <c r="A101" s="88" t="s">
        <v>56</v>
      </c>
      <c r="B101" s="75" t="s">
        <v>132</v>
      </c>
      <c r="C101" s="2">
        <v>0.2</v>
      </c>
      <c r="D101" s="168">
        <f>CEILING(B22*G12*C101*I74,5)</f>
        <v>0</v>
      </c>
      <c r="E101" s="10"/>
      <c r="F101" s="163">
        <f t="shared" si="1"/>
        <v>0</v>
      </c>
      <c r="G101" s="16"/>
      <c r="I101" s="6"/>
      <c r="J101" s="6"/>
      <c r="K101" s="6"/>
    </row>
    <row r="102" spans="1:11" ht="13.5" thickBot="1">
      <c r="A102" s="87"/>
      <c r="B102" s="1"/>
      <c r="C102" s="2"/>
      <c r="D102" s="1"/>
      <c r="E102" s="1"/>
      <c r="F102" s="11"/>
      <c r="G102" s="16"/>
      <c r="I102" s="6"/>
      <c r="J102" s="6"/>
      <c r="K102" s="6"/>
    </row>
    <row r="103" spans="1:11" ht="12.75">
      <c r="A103" s="46" t="s">
        <v>57</v>
      </c>
      <c r="B103" s="75" t="s">
        <v>133</v>
      </c>
      <c r="C103" s="2">
        <v>1.286</v>
      </c>
      <c r="D103" s="168">
        <f>CEILING(B22*G12*C103,22.5)*I75</f>
        <v>0</v>
      </c>
      <c r="E103" s="10"/>
      <c r="F103" s="163">
        <f t="shared" si="1"/>
        <v>0</v>
      </c>
      <c r="G103" s="16"/>
      <c r="I103" s="6"/>
      <c r="J103" s="6"/>
      <c r="K103" s="6"/>
    </row>
    <row r="104" spans="1:7" ht="13.5" thickBot="1">
      <c r="A104" s="88" t="s">
        <v>58</v>
      </c>
      <c r="B104" s="75" t="s">
        <v>134</v>
      </c>
      <c r="C104" s="2">
        <v>0.314</v>
      </c>
      <c r="D104" s="168">
        <f>CEILING(B22*G12*C104,5.5)*I75</f>
        <v>0</v>
      </c>
      <c r="E104" s="10"/>
      <c r="F104" s="163">
        <f t="shared" si="1"/>
        <v>0</v>
      </c>
      <c r="G104" s="16"/>
    </row>
    <row r="105" spans="1:7" ht="13.5" thickBot="1">
      <c r="A105" s="87"/>
      <c r="B105" s="1"/>
      <c r="C105" s="2"/>
      <c r="D105" s="1"/>
      <c r="E105" s="1"/>
      <c r="F105" s="11"/>
      <c r="G105" s="16"/>
    </row>
    <row r="106" spans="1:7" ht="12.75">
      <c r="A106" s="46" t="s">
        <v>59</v>
      </c>
      <c r="B106" s="75" t="s">
        <v>110</v>
      </c>
      <c r="C106" s="2">
        <v>1.31</v>
      </c>
      <c r="D106" s="168">
        <f>CEILING(B22*G12*C106,25)*I76</f>
        <v>0</v>
      </c>
      <c r="E106" s="10"/>
      <c r="F106" s="163">
        <f t="shared" si="1"/>
        <v>0</v>
      </c>
      <c r="G106" s="16"/>
    </row>
    <row r="107" spans="1:7" ht="13.5" thickBot="1">
      <c r="A107" s="88" t="s">
        <v>60</v>
      </c>
      <c r="B107" s="75" t="s">
        <v>134</v>
      </c>
      <c r="C107" s="2">
        <v>0.29</v>
      </c>
      <c r="D107" s="168">
        <f>CEILING(B22*G12*C107,5.5)*I76</f>
        <v>0</v>
      </c>
      <c r="E107" s="10"/>
      <c r="F107" s="163">
        <f t="shared" si="1"/>
        <v>0</v>
      </c>
      <c r="G107" s="16"/>
    </row>
    <row r="108" spans="1:7" ht="13.5" thickBot="1">
      <c r="A108" s="87"/>
      <c r="B108" s="115"/>
      <c r="C108" s="116"/>
      <c r="D108" s="115"/>
      <c r="E108" s="115"/>
      <c r="F108" s="117"/>
      <c r="G108" s="16"/>
    </row>
    <row r="109" spans="1:7" ht="13.5" thickBot="1">
      <c r="A109" s="81" t="s">
        <v>61</v>
      </c>
      <c r="B109" s="83"/>
      <c r="C109" s="112"/>
      <c r="D109" s="83"/>
      <c r="E109" s="83"/>
      <c r="F109" s="84"/>
      <c r="G109" s="16"/>
    </row>
    <row r="110" spans="1:7" ht="13.5" thickBot="1">
      <c r="A110" s="87"/>
      <c r="B110" s="73"/>
      <c r="C110" s="109" t="s">
        <v>142</v>
      </c>
      <c r="D110" s="73"/>
      <c r="E110" s="73"/>
      <c r="F110" s="80"/>
      <c r="G110" s="16"/>
    </row>
    <row r="111" spans="1:7" ht="13.5" thickBot="1">
      <c r="A111" s="90" t="s">
        <v>62</v>
      </c>
      <c r="B111" s="75" t="s">
        <v>135</v>
      </c>
      <c r="C111" s="137">
        <f>(I8+I9)/(I8*I9)*I10*I11*1.6</f>
        <v>1.2800000000000002</v>
      </c>
      <c r="D111" s="168">
        <f>CEILING(B22*C111,2)*I79</f>
        <v>0</v>
      </c>
      <c r="E111" s="10"/>
      <c r="F111" s="163">
        <f t="shared" si="1"/>
        <v>0</v>
      </c>
      <c r="G111" s="16"/>
    </row>
    <row r="112" spans="1:7" ht="13.5" thickBot="1">
      <c r="A112" s="87"/>
      <c r="B112" s="1"/>
      <c r="C112" s="138"/>
      <c r="D112" s="1"/>
      <c r="E112" s="1"/>
      <c r="F112" s="11"/>
      <c r="G112" s="16"/>
    </row>
    <row r="113" spans="1:7" ht="12.75">
      <c r="A113" s="46" t="s">
        <v>136</v>
      </c>
      <c r="B113" s="75" t="s">
        <v>137</v>
      </c>
      <c r="C113" s="137">
        <f>(I8+I9)/(I8*I9)*I10*I11*1.5</f>
        <v>1.2000000000000002</v>
      </c>
      <c r="D113" s="168">
        <f>CEILING(B22*C113,5)*I80</f>
        <v>0</v>
      </c>
      <c r="E113" s="10"/>
      <c r="F113" s="163">
        <f t="shared" si="1"/>
        <v>0</v>
      </c>
      <c r="G113" s="16"/>
    </row>
    <row r="114" spans="1:7" ht="13.5" thickBot="1">
      <c r="A114" s="88" t="s">
        <v>64</v>
      </c>
      <c r="B114" s="75" t="s">
        <v>138</v>
      </c>
      <c r="C114" s="137">
        <f>(I8+I9)/(I8*I9)*I10*I11*1.5*0.29</f>
        <v>0.34800000000000003</v>
      </c>
      <c r="D114" s="168">
        <f>CEILING(B22*C114,1)*I80</f>
        <v>0</v>
      </c>
      <c r="E114" s="10"/>
      <c r="F114" s="163">
        <f t="shared" si="1"/>
        <v>0</v>
      </c>
      <c r="G114" s="16"/>
    </row>
    <row r="115" spans="1:7" ht="13.5" thickBot="1">
      <c r="A115" s="87"/>
      <c r="B115" s="1"/>
      <c r="C115" s="138"/>
      <c r="D115" s="1"/>
      <c r="E115" s="1"/>
      <c r="F115" s="11"/>
      <c r="G115" s="16"/>
    </row>
    <row r="116" spans="1:7" ht="13.5" thickBot="1">
      <c r="A116" s="90" t="s">
        <v>65</v>
      </c>
      <c r="B116" s="75" t="s">
        <v>139</v>
      </c>
      <c r="C116" s="137">
        <f>(I8+I9)/(I8*I9)*I10*I11*1.6</f>
        <v>1.2800000000000002</v>
      </c>
      <c r="D116" s="168">
        <f>CEILING(B22*C116,2)*I81</f>
        <v>0</v>
      </c>
      <c r="E116" s="10"/>
      <c r="F116" s="163">
        <f t="shared" si="1"/>
        <v>0</v>
      </c>
      <c r="G116" s="16"/>
    </row>
    <row r="117" spans="1:7" ht="13.5" thickBot="1">
      <c r="A117" s="87"/>
      <c r="B117" s="1"/>
      <c r="C117" s="138"/>
      <c r="D117" s="1"/>
      <c r="E117" s="1"/>
      <c r="F117" s="11"/>
      <c r="G117" s="16"/>
    </row>
    <row r="118" spans="1:6" ht="12.75">
      <c r="A118" s="46" t="s">
        <v>66</v>
      </c>
      <c r="B118" s="75" t="s">
        <v>140</v>
      </c>
      <c r="C118" s="137">
        <f>(I8+I9)/(I8*I9)*I10*I11*1.6</f>
        <v>1.2800000000000002</v>
      </c>
      <c r="D118" s="168">
        <f>CEILING(B22*C118,3)*I82</f>
        <v>354</v>
      </c>
      <c r="E118" s="10"/>
      <c r="F118" s="163">
        <f t="shared" si="1"/>
        <v>0</v>
      </c>
    </row>
    <row r="119" spans="1:6" ht="13.5" thickBot="1">
      <c r="A119" s="88" t="s">
        <v>151</v>
      </c>
      <c r="B119" s="75" t="s">
        <v>141</v>
      </c>
      <c r="C119" s="137">
        <f>(I8+I9)/(I8*I9)*I10*I11*1.6*0.066</f>
        <v>0.08448000000000003</v>
      </c>
      <c r="D119" s="168">
        <f>CEILING(B22*C119,0.1)*I83</f>
        <v>23.3</v>
      </c>
      <c r="E119" s="10"/>
      <c r="F119" s="163">
        <f t="shared" si="1"/>
        <v>0</v>
      </c>
    </row>
    <row r="120" spans="1:6" ht="13.5" thickBot="1">
      <c r="A120" s="87"/>
      <c r="B120" s="115"/>
      <c r="C120" s="116"/>
      <c r="D120" s="115"/>
      <c r="E120" s="115"/>
      <c r="F120" s="117"/>
    </row>
    <row r="121" spans="1:7" ht="13.5" thickBot="1">
      <c r="A121" s="81" t="s">
        <v>68</v>
      </c>
      <c r="B121" s="83"/>
      <c r="C121" s="112"/>
      <c r="D121" s="83"/>
      <c r="E121" s="83"/>
      <c r="F121" s="84"/>
      <c r="G121" s="6"/>
    </row>
    <row r="122" spans="1:7" ht="13.5" thickBot="1">
      <c r="A122" s="87"/>
      <c r="B122" s="73"/>
      <c r="C122" s="109" t="s">
        <v>143</v>
      </c>
      <c r="D122" s="73"/>
      <c r="E122" s="73"/>
      <c r="F122" s="80"/>
      <c r="G122" s="21"/>
    </row>
    <row r="123" spans="1:7" ht="13.5" thickBot="1">
      <c r="A123" s="90" t="s">
        <v>69</v>
      </c>
      <c r="B123" s="75" t="s">
        <v>152</v>
      </c>
      <c r="C123" s="2">
        <v>26</v>
      </c>
      <c r="D123" s="168">
        <f>CEILING((B14+B16)*C123,310)*I85</f>
        <v>3720</v>
      </c>
      <c r="E123" s="10"/>
      <c r="F123" s="163">
        <f t="shared" si="1"/>
        <v>0</v>
      </c>
      <c r="G123" s="16"/>
    </row>
    <row r="124" spans="1:7" ht="13.5" thickBot="1">
      <c r="A124" s="89"/>
      <c r="B124" s="8"/>
      <c r="C124" s="110"/>
      <c r="D124" s="8"/>
      <c r="E124" s="8"/>
      <c r="F124" s="13"/>
      <c r="G124" s="16"/>
    </row>
    <row r="125" spans="1:7" ht="16.5" thickBot="1">
      <c r="A125" s="95" t="s">
        <v>154</v>
      </c>
      <c r="B125" s="78"/>
      <c r="C125" s="113"/>
      <c r="D125" s="77"/>
      <c r="E125" s="92"/>
      <c r="F125" s="148">
        <f>F32+F33+F37+F39+F40+F42+F43+F47+F49+F50+F52+F57+F58+F62+F63+F64+F65+F69+F70+F71+F72+F76+F77+F78+F79+F83+F84+F85+F86+F87+F88+F92+F93+F97+F98+F100+F101+F103+F104+F106+F107+F111+F113+F114+F116+F118+F123</f>
        <v>0</v>
      </c>
      <c r="G125" s="16"/>
    </row>
    <row r="126" spans="1:6" ht="13.5" thickBot="1">
      <c r="A126" s="96" t="s">
        <v>11</v>
      </c>
      <c r="B126" s="76"/>
      <c r="C126" s="114"/>
      <c r="D126" s="1"/>
      <c r="E126" s="1"/>
      <c r="F126" s="139"/>
    </row>
    <row r="127" spans="1:6" ht="16.5" thickBot="1">
      <c r="A127" s="7" t="s">
        <v>12</v>
      </c>
      <c r="B127" s="97"/>
      <c r="C127" s="110"/>
      <c r="D127" s="8"/>
      <c r="E127" s="93"/>
      <c r="F127" s="148">
        <f>F125-(F125*B126/100)</f>
        <v>0</v>
      </c>
    </row>
    <row r="129" ht="13.5" thickBot="1"/>
    <row r="130" spans="1:8" ht="12.75">
      <c r="A130" s="143" t="s">
        <v>155</v>
      </c>
      <c r="B130" s="3"/>
      <c r="C130" s="3"/>
      <c r="D130" s="3"/>
      <c r="E130" s="3"/>
      <c r="F130" s="3"/>
      <c r="G130" s="3"/>
      <c r="H130" s="19"/>
    </row>
    <row r="131" spans="1:8" ht="12.75">
      <c r="A131" s="5" t="s">
        <v>167</v>
      </c>
      <c r="B131" s="6"/>
      <c r="C131" s="6"/>
      <c r="D131" s="6"/>
      <c r="E131" s="6"/>
      <c r="F131" s="6"/>
      <c r="G131" s="6"/>
      <c r="H131" s="4"/>
    </row>
    <row r="132" spans="1:8" ht="12.75">
      <c r="A132" s="5" t="s">
        <v>156</v>
      </c>
      <c r="B132" s="6"/>
      <c r="C132" s="6"/>
      <c r="D132" s="6"/>
      <c r="E132" s="6"/>
      <c r="F132" s="6"/>
      <c r="G132" s="6"/>
      <c r="H132" s="4"/>
    </row>
    <row r="133" spans="1:8" ht="12.75">
      <c r="A133" s="5" t="s">
        <v>157</v>
      </c>
      <c r="B133" s="6"/>
      <c r="C133" s="6"/>
      <c r="D133" s="6"/>
      <c r="E133" s="6"/>
      <c r="F133" s="6"/>
      <c r="G133" s="6"/>
      <c r="H133" s="4"/>
    </row>
    <row r="134" spans="1:8" ht="12.75">
      <c r="A134" s="5" t="s">
        <v>158</v>
      </c>
      <c r="B134" s="6"/>
      <c r="C134" s="6"/>
      <c r="D134" s="6"/>
      <c r="E134" s="6"/>
      <c r="F134" s="6"/>
      <c r="G134" s="6"/>
      <c r="H134" s="4"/>
    </row>
    <row r="135" spans="1:8" ht="12.75">
      <c r="A135" s="5" t="s">
        <v>159</v>
      </c>
      <c r="B135" s="6"/>
      <c r="C135" s="6"/>
      <c r="D135" s="6"/>
      <c r="E135" s="6"/>
      <c r="F135" s="6"/>
      <c r="G135" s="6"/>
      <c r="H135" s="4"/>
    </row>
    <row r="136" spans="1:8" ht="13.5" thickBot="1">
      <c r="A136" s="20" t="s">
        <v>168</v>
      </c>
      <c r="B136" s="22"/>
      <c r="C136" s="22"/>
      <c r="D136" s="22"/>
      <c r="E136" s="22"/>
      <c r="F136" s="22"/>
      <c r="G136" s="22"/>
      <c r="H136" s="9"/>
    </row>
    <row r="138" ht="13.5" thickBot="1"/>
    <row r="139" spans="1:4" ht="12.75">
      <c r="A139" s="143" t="s">
        <v>160</v>
      </c>
      <c r="B139" s="3"/>
      <c r="C139" s="3"/>
      <c r="D139" s="19"/>
    </row>
    <row r="140" spans="1:4" ht="12.75">
      <c r="A140" s="5" t="s">
        <v>161</v>
      </c>
      <c r="B140" s="6"/>
      <c r="C140" s="6"/>
      <c r="D140" s="4"/>
    </row>
    <row r="141" spans="1:4" ht="12.75">
      <c r="A141" s="5" t="s">
        <v>166</v>
      </c>
      <c r="B141" s="6"/>
      <c r="C141" s="6"/>
      <c r="D141" s="4"/>
    </row>
    <row r="142" spans="1:4" ht="13.5" thickBot="1">
      <c r="A142" s="20"/>
      <c r="B142" s="22"/>
      <c r="C142" s="22"/>
      <c r="D142" s="9"/>
    </row>
    <row r="157" spans="1:6" ht="12.75">
      <c r="A157" s="21"/>
      <c r="B157" s="21"/>
      <c r="C157" s="21"/>
      <c r="D157" s="21"/>
      <c r="E157" s="21"/>
      <c r="F157" s="21"/>
    </row>
    <row r="158" spans="1:6" ht="12.75">
      <c r="A158" s="21"/>
      <c r="B158" s="21"/>
      <c r="C158" s="21"/>
      <c r="D158" s="21"/>
      <c r="E158" s="21"/>
      <c r="F158" s="21"/>
    </row>
    <row r="159" spans="1:6" ht="12.75">
      <c r="A159" s="144"/>
      <c r="B159" s="145"/>
      <c r="C159" s="144"/>
      <c r="D159" s="21"/>
      <c r="E159" s="144"/>
      <c r="F159" s="144"/>
    </row>
    <row r="160" spans="1:6" ht="12.75">
      <c r="A160" s="16"/>
      <c r="B160" s="18"/>
      <c r="C160" s="16"/>
      <c r="D160" s="16"/>
      <c r="E160" s="16"/>
      <c r="F160" s="16"/>
    </row>
    <row r="161" spans="1:6" ht="12.75">
      <c r="A161" s="21"/>
      <c r="B161" s="16"/>
      <c r="C161" s="16"/>
      <c r="D161" s="16"/>
      <c r="E161" s="16"/>
      <c r="F161" s="16"/>
    </row>
    <row r="162" spans="1:6" ht="12.75">
      <c r="A162" s="16"/>
      <c r="B162" s="16"/>
      <c r="C162" s="16"/>
      <c r="D162" s="16"/>
      <c r="E162" s="16"/>
      <c r="F162" s="16"/>
    </row>
    <row r="163" spans="1:6" ht="12.75">
      <c r="A163" s="16"/>
      <c r="B163" s="18"/>
      <c r="C163" s="16"/>
      <c r="D163" s="21"/>
      <c r="E163" s="146"/>
      <c r="F163" s="146"/>
    </row>
    <row r="164" spans="1:6" ht="12.75">
      <c r="A164" s="16"/>
      <c r="B164" s="18"/>
      <c r="C164" s="16"/>
      <c r="D164" s="21"/>
      <c r="E164" s="146"/>
      <c r="F164" s="146"/>
    </row>
    <row r="165" spans="1:6" ht="12.75">
      <c r="A165" s="16"/>
      <c r="B165" s="18"/>
      <c r="C165" s="16"/>
      <c r="D165" s="21"/>
      <c r="E165" s="146"/>
      <c r="F165" s="146"/>
    </row>
    <row r="166" spans="1:6" ht="12.75">
      <c r="A166" s="16"/>
      <c r="B166" s="18"/>
      <c r="C166" s="16"/>
      <c r="D166" s="21"/>
      <c r="E166" s="146"/>
      <c r="F166" s="146"/>
    </row>
    <row r="167" spans="1:6" ht="12.75">
      <c r="A167" s="16"/>
      <c r="B167" s="16"/>
      <c r="C167" s="16"/>
      <c r="D167" s="21"/>
      <c r="E167" s="146"/>
      <c r="F167" s="146"/>
    </row>
    <row r="168" spans="1:6" ht="12.75">
      <c r="A168" s="21"/>
      <c r="B168" s="16"/>
      <c r="C168" s="16"/>
      <c r="D168" s="21"/>
      <c r="E168" s="146"/>
      <c r="F168" s="146"/>
    </row>
    <row r="169" spans="1:6" ht="12.75">
      <c r="A169" s="16"/>
      <c r="B169" s="16"/>
      <c r="C169" s="16"/>
      <c r="D169" s="21"/>
      <c r="E169" s="146"/>
      <c r="F169" s="146"/>
    </row>
    <row r="170" spans="1:6" ht="12.75">
      <c r="A170" s="16"/>
      <c r="B170" s="16"/>
      <c r="C170" s="16"/>
      <c r="D170" s="21"/>
      <c r="E170" s="146"/>
      <c r="F170" s="146"/>
    </row>
    <row r="171" spans="1:6" ht="12.75">
      <c r="A171" s="16"/>
      <c r="B171" s="16"/>
      <c r="C171" s="16"/>
      <c r="D171" s="21"/>
      <c r="E171" s="146"/>
      <c r="F171" s="146"/>
    </row>
    <row r="172" spans="1:6" ht="12.75">
      <c r="A172" s="16"/>
      <c r="B172" s="16"/>
      <c r="C172" s="16"/>
      <c r="D172" s="21"/>
      <c r="E172" s="146"/>
      <c r="F172" s="146"/>
    </row>
    <row r="173" spans="1:6" ht="12.75">
      <c r="A173" s="16"/>
      <c r="B173" s="16"/>
      <c r="C173" s="16"/>
      <c r="D173" s="21"/>
      <c r="E173" s="146"/>
      <c r="F173" s="146"/>
    </row>
    <row r="174" spans="1:6" ht="12.75">
      <c r="A174" s="21"/>
      <c r="B174" s="16"/>
      <c r="C174" s="16"/>
      <c r="D174" s="21"/>
      <c r="E174" s="146"/>
      <c r="F174" s="146"/>
    </row>
    <row r="175" spans="1:6" ht="12.75">
      <c r="A175" s="16"/>
      <c r="B175" s="16"/>
      <c r="C175" s="16"/>
      <c r="D175" s="21"/>
      <c r="E175" s="146"/>
      <c r="F175" s="146"/>
    </row>
    <row r="176" spans="1:6" ht="12.75">
      <c r="A176" s="16"/>
      <c r="B176" s="16"/>
      <c r="C176" s="147"/>
      <c r="D176" s="21"/>
      <c r="E176" s="146"/>
      <c r="F176" s="146"/>
    </row>
    <row r="177" spans="1:6" ht="12.75">
      <c r="A177" s="16"/>
      <c r="B177" s="16"/>
      <c r="C177" s="147"/>
      <c r="D177" s="21"/>
      <c r="E177" s="146"/>
      <c r="F177" s="146"/>
    </row>
    <row r="178" spans="1:6" ht="12.75">
      <c r="A178" s="16"/>
      <c r="B178" s="16"/>
      <c r="C178" s="147"/>
      <c r="D178" s="21"/>
      <c r="E178" s="146"/>
      <c r="F178" s="146"/>
    </row>
    <row r="179" spans="1:6" ht="12.75">
      <c r="A179" s="21"/>
      <c r="B179" s="16"/>
      <c r="C179" s="16"/>
      <c r="D179" s="21"/>
      <c r="E179" s="146"/>
      <c r="F179" s="146"/>
    </row>
    <row r="180" spans="1:6" ht="12.75">
      <c r="A180" s="16"/>
      <c r="B180" s="16"/>
      <c r="C180" s="16"/>
      <c r="D180" s="21"/>
      <c r="E180" s="146"/>
      <c r="F180" s="146"/>
    </row>
    <row r="181" spans="1:6" ht="12.75">
      <c r="A181" s="16"/>
      <c r="B181" s="16"/>
      <c r="C181" s="16"/>
      <c r="D181" s="21"/>
      <c r="E181" s="146"/>
      <c r="F181" s="146"/>
    </row>
    <row r="182" spans="1:6" ht="12.75">
      <c r="A182" s="16"/>
      <c r="B182" s="16"/>
      <c r="C182" s="16"/>
      <c r="D182" s="16"/>
      <c r="E182" s="16"/>
      <c r="F182" s="16"/>
    </row>
    <row r="183" spans="1:6" ht="12.75">
      <c r="A183" s="16"/>
      <c r="B183" s="16"/>
      <c r="C183" s="16"/>
      <c r="D183" s="16"/>
      <c r="E183" s="16"/>
      <c r="F183" s="16"/>
    </row>
  </sheetData>
  <sheetProtection/>
  <mergeCells count="1">
    <mergeCell ref="H7:I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ZAO MAPEI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ASAVONIN</dc:creator>
  <cp:keywords/>
  <dc:description/>
  <cp:lastModifiedBy>Comp-9</cp:lastModifiedBy>
  <cp:lastPrinted>2011-02-17T11:00:30Z</cp:lastPrinted>
  <dcterms:created xsi:type="dcterms:W3CDTF">2011-02-17T08:03:23Z</dcterms:created>
  <dcterms:modified xsi:type="dcterms:W3CDTF">2013-10-09T13:35:02Z</dcterms:modified>
  <cp:category/>
  <cp:version/>
  <cp:contentType/>
  <cp:contentStatus/>
</cp:coreProperties>
</file>